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Gen" vbProcedure="false">Alloc!$C$119:$F$119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RDCost" vbProcedure="false">Alloc!$C$53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efGWyr" vbProcedure="false">Alloc!$F$49</definedName>
    <definedName function="false" hidden="false" name="AL_SensCheck" vbProcedure="false">Alloc!$W$81:$W$95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SRC_Index!$F$5:$F$1456</definedName>
    <definedName function="false" hidden="false" name="IDX_SrcGrade" vbProcedure="false">SRC_Index!$E$5:$E$1456</definedName>
    <definedName function="false" hidden="false" name="IDX_SrcID" vbProcedure="false">SRC_Index!$A$5:$A$1456</definedName>
    <definedName function="false" hidden="false" name="IDX_SrcStat" vbProcedure="false">SRC_Index!$D$5:$D$1456</definedName>
    <definedName function="false" hidden="false" name="IFC_Conf" vbProcedure="false">Interface!$R$6:$R$315</definedName>
    <definedName function="false" hidden="false" name="IFC_Layer" vbProcedure="false">Interface!$T$6:$T$315</definedName>
    <definedName function="false" hidden="false" name="IFC_Updated" vbProcedure="false">Interface!$U$6:$U$315</definedName>
    <definedName function="false" hidden="false" name="IFC_Use" vbProcedure="false">Interface!$S$6:$S$315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Lo" vbProcedure="false">L1!$E$89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Load_Bearing!$N$5:$N$60</definedName>
    <definedName function="false" hidden="false" name="LB_LiveCount" vbProcedure="false">Load_Bearing!$J$62</definedName>
    <definedName function="false" hidden="false" name="LB_Rows" vbProcedure="false">Load_Bearing!$A$5:$A$60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<sst xmlns="http://schemas.openxmlformats.org/spreadsheetml/2006/main" count="36345" uniqueCount="10499">
  <si>
    <r>
      <rPr>
        <b val="true"/>
        <sz val="13"/>
        <rFont val="Arial"/>
        <family val="0"/>
        <charset val="1"/>
      </rPr>
      <t xml:space="preserve">Tokenomics v6.3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</si>
  <si>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</si>
  <si>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</si>
  <si>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</si>
  <si>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</si>
  <si>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20261016_Tokenomics_v6.3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</si>
  <si>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</si>
  <si>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</si>
  <si>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</si>
  <si>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</si>
  <si>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</si>
  <si>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</si>
  <si>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</si>
  <si>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</si>
  <si>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</si>
  <si>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</si>
  <si>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</si>
  <si>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</si>
  <si>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</si>
  <si>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</si>
  <si>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</si>
  <si>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</si>
  <si>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</si>
  <si>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</si>
  <si>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</si>
  <si>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</si>
  <si>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</si>
  <si>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</si>
  <si>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</si>
  <si>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</si>
  <si>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</si>
  <si>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</si>
  <si>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</si>
  <si>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</si>
  <si>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</si>
  <si>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</si>
  <si>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</si>
  <si>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</si>
  <si>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</si>
  <si>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</si>
  <si>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</si>
  <si>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</si>
  <si>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</si>
  <si>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</si>
  <si>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</si>
  <si>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</si>
  <si>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</si>
  <si>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</si>
  <si>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</si>
  <si>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</si>
  <si>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</si>
  <si>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</si>
  <si>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</si>
  <si>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</si>
  <si>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</si>
  <si>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</si>
  <si>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</si>
  <si>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</si>
  <si>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</si>
  <si>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</si>
  <si>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</si>
  <si>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</si>
  <si>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</si>
  <si>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</si>
  <si>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</si>
  <si>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</si>
  <si>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</si>
  <si>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</si>
  <si>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</si>
  <si>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</si>
  <si>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</si>
  <si>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</si>
  <si>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</si>
  <si>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</si>
  <si>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</si>
  <si>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</si>
  <si>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</si>
  <si>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</si>
  <si>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</si>
  <si>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</si>
  <si>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</si>
  <si>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</si>
  <si>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</si>
  <si>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</si>
  <si>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</si>
  <si>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</si>
  <si>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</si>
  <si>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</si>
  <si>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</si>
  <si>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</si>
  <si>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</si>
  <si>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</si>
  <si>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</si>
  <si>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</si>
  <si>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</si>
  <si>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</si>
  <si>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</si>
  <si>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</si>
  <si>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</si>
  <si>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</si>
  <si>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</si>
  <si>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</si>
  <si>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</si>
  <si>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</si>
  <si>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</si>
  <si>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</si>
  <si>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</si>
  <si>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</si>
  <si>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</si>
  <si>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</si>
  <si>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</si>
  <si>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</si>
  <si>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</si>
  <si>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</si>
  <si>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</si>
  <si>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</si>
  <si>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</si>
  <si>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</si>
  <si>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</si>
  <si>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</si>
  <si>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</si>
  <si>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</si>
  <si>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</si>
  <si>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</si>
  <si>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</si>
  <si>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</si>
  <si>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</si>
  <si>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</si>
  <si>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</si>
  <si>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</si>
  <si>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</si>
  <si>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</si>
  <si>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</si>
  <si>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</si>
  <si>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</si>
  <si>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</si>
  <si>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</si>
  <si>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</si>
  <si>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</si>
  <si>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</si>
  <si>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</si>
  <si>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</si>
  <si>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</si>
  <si>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</si>
  <si>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</si>
  <si>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</si>
  <si>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</si>
  <si>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</si>
  <si>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</si>
  <si>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</si>
  <si>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</si>
  <si>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</si>
  <si>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</si>
  <si>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</si>
  <si>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</si>
  <si>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</si>
  <si>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</si>
  <si>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</si>
  <si>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</si>
  <si>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</si>
  <si>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</si>
  <si>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</si>
  <si>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</si>
  <si>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</si>
  <si>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</si>
  <si>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</si>
  <si>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</si>
  <si>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</si>
  <si>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</si>
  <si>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</si>
  <si>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</si>
  <si>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</si>
  <si>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</si>
  <si>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</si>
  <si>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</si>
  <si>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</si>
  <si>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</si>
  <si>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</si>
  <si>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</si>
  <si>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</si>
  <si>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</si>
  <si>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</si>
  <si>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</si>
  <si>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</si>
  <si>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</si>
  <si>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</si>
  <si>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</si>
  <si>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</si>
  <si>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</si>
  <si>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</si>
  <si>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</si>
  <si>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</si>
  <si>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</si>
  <si>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</si>
  <si>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</si>
  <si>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</si>
  <si>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</si>
  <si>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</si>
  <si>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</si>
  <si>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</si>
  <si>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</si>
  <si>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</si>
  <si>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</si>
  <si>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</si>
  <si>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</si>
  <si>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</si>
  <si>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</si>
  <si>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</si>
  <si>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</si>
  <si>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</si>
  <si>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</si>
  <si>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</si>
  <si>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</si>
  <si>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</si>
  <si>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</si>
  <si>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</si>
  <si>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</si>
  <si>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</si>
  <si>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</si>
  <si>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</si>
  <si>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</si>
  <si>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</si>
  <si>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</si>
  <si>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</si>
  <si>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</si>
  <si>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</si>
  <si>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</si>
  <si>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</si>
  <si>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</si>
  <si>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</si>
  <si>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</si>
  <si>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</si>
  <si>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</si>
  <si>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</si>
  <si>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</si>
  <si>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</si>
  <si>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</si>
  <si>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</si>
  <si>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</si>
  <si>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</si>
  <si>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</si>
  <si>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</si>
  <si>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</si>
  <si>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</si>
  <si>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</si>
  <si>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</si>
  <si>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</si>
  <si>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</si>
  <si>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</si>
  <si>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</si>
  <si>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</si>
  <si>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</si>
  <si>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</si>
  <si>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</si>
  <si>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</si>
  <si>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</si>
  <si>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</si>
  <si>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</si>
  <si>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</si>
  <si>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</si>
  <si>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</si>
  <si>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</si>
  <si>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</si>
  <si>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</si>
  <si>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</si>
  <si>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</si>
  <si>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</si>
  <si>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</si>
  <si>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</si>
  <si>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</si>
  <si>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</si>
  <si>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</si>
  <si>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</si>
  <si>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</si>
  <si>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</si>
  <si>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</si>
  <si>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</si>
  <si>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</si>
  <si>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</si>
  <si>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</si>
  <si>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</si>
  <si>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</si>
  <si>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</si>
  <si>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</si>
  <si>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</si>
  <si>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</si>
  <si>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</si>
  <si>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</si>
  <si>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</si>
  <si>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</si>
  <si>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</si>
  <si>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</si>
  <si>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</si>
  <si>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</si>
  <si>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</si>
  <si>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</si>
  <si>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</si>
  <si>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</si>
  <si>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</si>
  <si>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</si>
  <si>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</si>
  <si>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</si>
  <si>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</si>
  <si>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</si>
  <si>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</si>
  <si>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</si>
  <si>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</si>
  <si>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</si>
  <si>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</si>
  <si>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</si>
  <si>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</si>
  <si>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</si>
  <si>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</si>
  <si>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</si>
  <si>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</si>
  <si>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</si>
  <si>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</si>
  <si>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</si>
  <si>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</si>
  <si>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</si>
  <si>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</si>
  <si>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</si>
  <si>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</si>
  <si>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</si>
  <si>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</si>
  <si>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</si>
  <si>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</si>
  <si>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</si>
  <si>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</si>
  <si>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</si>
  <si>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</si>
  <si>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</si>
  <si>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</si>
  <si>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</si>
  <si>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</si>
  <si>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</si>
  <si>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</si>
  <si>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</si>
  <si>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</si>
  <si>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</si>
  <si>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</si>
  <si>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</si>
  <si>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</si>
  <si>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</si>
  <si>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</si>
  <si>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</si>
  <si>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</si>
  <si>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</si>
  <si>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</si>
  <si>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</si>
  <si>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</si>
  <si>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</si>
  <si>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</si>
  <si>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</si>
  <si>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</si>
  <si>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</si>
  <si>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</si>
  <si>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</si>
  <si>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</si>
  <si>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</si>
  <si>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</si>
  <si>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</si>
  <si>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</si>
  <si>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</si>
  <si>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</si>
  <si>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</si>
  <si>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</si>
  <si>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</si>
  <si>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是否合併留第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</si>
  <si>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</si>
  <si>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</si>
  <si>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</si>
  <si>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</si>
  <si>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</si>
  <si>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</si>
  <si>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</si>
  <si>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</si>
  <si>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</si>
  <si>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</si>
  <si>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</si>
  <si>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</si>
  <si>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</si>
  <si>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</si>
  <si>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</si>
  <si>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</si>
  <si>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</si>
  <si>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</si>
  <si>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</si>
  <si>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</si>
  <si>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</si>
  <si>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</si>
  <si>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</si>
  <si>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</si>
  <si>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</si>
  <si>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</si>
  <si>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</si>
  <si>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</si>
  <si>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</si>
  <si>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</si>
  <si>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</si>
  <si>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</si>
  <si>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</si>
  <si>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</si>
  <si>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</si>
  <si>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</si>
  <si>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</si>
  <si>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</si>
  <si>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</si>
  <si>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</si>
  <si>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</si>
  <si>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</si>
  <si>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</si>
  <si>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</si>
  <si>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</si>
  <si>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</si>
  <si>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</si>
  <si>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</si>
  <si>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</si>
  <si>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</si>
  <si>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</si>
  <si>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</si>
  <si>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</si>
  <si>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</si>
  <si>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</si>
  <si>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</si>
  <si>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</si>
  <si>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</si>
  <si>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</si>
  <si>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</si>
  <si>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</si>
  <si>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</si>
  <si>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</si>
  <si>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</si>
  <si>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</si>
  <si>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</si>
  <si>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</si>
  <si>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</si>
  <si>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</si>
  <si>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</si>
  <si>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</si>
  <si>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</si>
  <si>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</si>
  <si>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</si>
  <si>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</si>
  <si>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</si>
  <si>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</si>
  <si>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</si>
  <si>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</si>
  <si>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</si>
  <si>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</si>
  <si>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</si>
  <si>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</si>
  <si>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</si>
  <si>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</si>
  <si>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</si>
  <si>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</si>
  <si>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</si>
  <si>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</si>
  <si>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</si>
  <si>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</si>
  <si>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</si>
  <si>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</si>
  <si>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</si>
  <si>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</si>
  <si>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</si>
  <si>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</si>
  <si>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</si>
  <si>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</si>
  <si>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</si>
  <si>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</si>
  <si>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</si>
  <si>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</si>
  <si>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</si>
  <si>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</si>
  <si>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</si>
  <si>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</si>
  <si>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</si>
  <si>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</si>
  <si>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</si>
  <si>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</si>
  <si>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</si>
  <si>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</si>
  <si>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</si>
  <si>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</si>
  <si>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</si>
  <si>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</si>
  <si>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</si>
  <si>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</si>
  <si>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</si>
  <si>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</si>
  <si>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</si>
  <si>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</si>
  <si>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</si>
  <si>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</si>
  <si>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</si>
  <si>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</si>
  <si>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</si>
  <si>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</si>
  <si>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</si>
  <si>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</si>
  <si>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</si>
  <si>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</si>
  <si>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</si>
  <si>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</si>
  <si>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</si>
  <si>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</si>
  <si>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</si>
  <si>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</si>
  <si>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</si>
  <si>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</si>
  <si>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</si>
  <si>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</si>
  <si>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</si>
  <si>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</si>
  <si>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</si>
  <si>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</si>
  <si>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</si>
  <si>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</si>
  <si>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</si>
  <si>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</si>
  <si>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</si>
  <si>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</si>
  <si>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</si>
  <si>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</si>
  <si>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</si>
  <si>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</si>
  <si>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</si>
  <si>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</si>
  <si>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</si>
  <si>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</si>
  <si>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</si>
  <si>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</si>
  <si>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</si>
  <si>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</si>
  <si>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</si>
  <si>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</si>
  <si>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</si>
  <si>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</si>
  <si>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</si>
  <si>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</si>
  <si>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</si>
  <si>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</si>
  <si>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</si>
  <si>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</si>
  <si>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</si>
  <si>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</si>
  <si>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</si>
  <si>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</si>
  <si>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</si>
  <si>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</si>
  <si>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</si>
  <si>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</si>
  <si>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</si>
  <si>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</si>
  <si>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</si>
  <si>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</si>
  <si>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</si>
  <si>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</si>
  <si>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</si>
  <si>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</si>
  <si>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</si>
  <si>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</si>
  <si>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</si>
  <si>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</si>
  <si>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</si>
  <si>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</si>
  <si>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</si>
  <si>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</si>
  <si>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</si>
  <si>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</si>
  <si>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</si>
  <si>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</si>
  <si>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</si>
  <si>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</si>
  <si>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</si>
  <si>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</si>
  <si>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</si>
  <si>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</si>
  <si>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</si>
  <si>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</si>
  <si>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</si>
  <si>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</si>
  <si>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</si>
  <si>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</si>
  <si>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</si>
  <si>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</si>
  <si>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</si>
  <si>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</si>
  <si>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</si>
  <si>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</si>
  <si>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</si>
  <si>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</si>
  <si>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</si>
  <si>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</si>
  <si>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</si>
  <si>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</si>
  <si>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</si>
  <si>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</si>
  <si>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</si>
  <si>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</si>
  <si>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</si>
  <si>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</si>
  <si>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</si>
  <si>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</si>
  <si>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</si>
  <si>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</si>
  <si>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</si>
  <si>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</si>
  <si>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</si>
  <si>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</si>
  <si>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</si>
  <si>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</si>
  <si>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</si>
  <si>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</si>
  <si>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</si>
  <si>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</si>
  <si>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</si>
  <si>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</si>
  <si>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</si>
  <si>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</si>
  <si>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</si>
  <si>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</si>
  <si>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</si>
  <si>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</si>
  <si>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</si>
  <si>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</si>
  <si>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</si>
  <si>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</si>
  <si>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</si>
  <si>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</si>
  <si>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</si>
  <si>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</si>
  <si>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</si>
  <si>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</si>
  <si>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</si>
  <si>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</si>
  <si>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</si>
  <si>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</si>
  <si>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</si>
  <si>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</si>
  <si>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</si>
  <si>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</si>
  <si>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</si>
  <si>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</si>
  <si>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</si>
  <si>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</si>
  <si>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</si>
  <si>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</si>
  <si>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</si>
  <si>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</si>
  <si>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</si>
  <si>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</si>
  <si>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</si>
  <si>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</si>
  <si>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</si>
  <si>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</si>
  <si>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</si>
  <si>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</si>
  <si>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</si>
  <si>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</si>
  <si>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</si>
  <si>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</si>
  <si>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</si>
  <si>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</si>
  <si>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</si>
  <si>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</si>
  <si>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</si>
  <si>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</si>
  <si>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</si>
  <si>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</si>
  <si>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</si>
  <si>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</si>
  <si>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</si>
  <si>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</si>
  <si>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</si>
  <si>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</si>
  <si>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</si>
  <si>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</si>
  <si>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</si>
  <si>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</si>
  <si>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</si>
  <si>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</si>
  <si>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</si>
  <si>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</si>
  <si>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</si>
  <si>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</si>
  <si>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</si>
  <si>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</si>
  <si>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</si>
  <si>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</si>
  <si>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</si>
  <si>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</si>
  <si>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</si>
  <si>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</si>
  <si>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</si>
  <si>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</si>
  <si>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</si>
  <si>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</si>
  <si>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</si>
  <si>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</si>
  <si>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</si>
  <si>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</si>
  <si>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</si>
  <si>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</si>
  <si>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</si>
  <si>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</si>
  <si>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</si>
  <si>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</si>
  <si>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</si>
  <si>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</si>
  <si>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</si>
  <si>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</si>
  <si>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</si>
  <si>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</si>
  <si>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</si>
  <si>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</si>
  <si>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</si>
  <si>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</si>
  <si>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</si>
  <si>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</si>
  <si>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</si>
  <si>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</si>
  <si>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</si>
  <si>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</si>
  <si>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</si>
  <si>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</si>
  <si>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</si>
  <si>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</si>
  <si>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</si>
  <si>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</si>
  <si>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</si>
  <si>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</si>
  <si>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</si>
  <si>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</si>
  <si>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</si>
  <si>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</si>
  <si>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</si>
  <si>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</si>
  <si>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</si>
  <si>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</si>
  <si>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</si>
  <si>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</si>
  <si>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</si>
  <si>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</si>
  <si>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</si>
  <si>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</si>
  <si>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</si>
  <si>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</si>
  <si>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</si>
  <si>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</si>
  <si>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</si>
  <si>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</si>
  <si>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</si>
  <si>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</si>
  <si>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</si>
  <si>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</si>
  <si>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</si>
  <si>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</si>
  <si>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</si>
  <si>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</si>
  <si>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</si>
  <si>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</si>
  <si>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</si>
  <si>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</si>
  <si>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</si>
  <si>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</si>
  <si>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</si>
  <si>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</si>
  <si>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</si>
  <si>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</si>
  <si>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</si>
  <si>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</si>
  <si>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</si>
  <si>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</si>
  <si>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</si>
  <si>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</si>
  <si>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</si>
  <si>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</si>
  <si>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</si>
  <si>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</si>
  <si>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</si>
  <si>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</si>
  <si>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</si>
  <si>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</si>
  <si>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</si>
  <si>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</si>
  <si>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</si>
  <si>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</si>
  <si>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</si>
  <si>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</si>
  <si>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</si>
  <si>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</si>
  <si>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</si>
  <si>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</si>
  <si>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</si>
  <si>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</si>
  <si>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</si>
  <si>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</si>
  <si>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</si>
  <si>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</si>
  <si>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</si>
  <si>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</si>
  <si>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</si>
  <si>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</si>
  <si>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</si>
  <si>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</si>
  <si>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</si>
  <si>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</si>
  <si>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</si>
  <si>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</si>
  <si>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</si>
  <si>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</si>
  <si>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</si>
  <si>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</si>
  <si>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</si>
  <si>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</si>
  <si>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</si>
  <si>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</si>
  <si>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</si>
  <si>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</si>
  <si>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</si>
  <si>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</si>
  <si>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</si>
  <si>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</si>
  <si>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</si>
  <si>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</si>
  <si>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</si>
  <si>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</si>
  <si>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</si>
  <si>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</si>
  <si>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</si>
  <si>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</si>
  <si>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</si>
  <si>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</si>
  <si>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</si>
  <si>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</si>
  <si>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</si>
  <si>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</si>
  <si>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</si>
  <si>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</si>
  <si>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</si>
  <si>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</si>
  <si>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</si>
  <si>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</si>
  <si>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</si>
  <si>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</si>
  <si>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</si>
  <si>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</si>
  <si>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</si>
  <si>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</si>
  <si>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</si>
  <si>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</si>
  <si>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</si>
  <si>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</si>
  <si>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</si>
  <si>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</si>
  <si>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</si>
  <si>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</si>
  <si>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</si>
  <si>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</si>
  <si>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</si>
  <si>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</si>
  <si>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</si>
  <si>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</si>
  <si>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</si>
  <si>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</si>
  <si>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</si>
  <si>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</si>
  <si>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</si>
  <si>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</si>
  <si>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</si>
  <si>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</si>
  <si>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</si>
  <si>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</si>
  <si>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</si>
  <si>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</si>
  <si>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</si>
  <si>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</si>
  <si>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</si>
  <si>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</si>
  <si>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</si>
  <si>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</si>
  <si>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</si>
  <si>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</si>
  <si>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</si>
  <si>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</si>
  <si>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</si>
  <si>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</si>
  <si>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</si>
  <si>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</si>
  <si>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</si>
  <si>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</si>
  <si>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</si>
  <si>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</si>
  <si>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</si>
  <si>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</si>
  <si>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</si>
  <si>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</si>
  <si>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</si>
  <si>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</si>
  <si>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</si>
  <si>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</si>
  <si>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</si>
  <si>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</si>
  <si>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</si>
  <si>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</si>
  <si>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</si>
  <si>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</si>
  <si>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</si>
  <si>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</si>
  <si>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</si>
  <si>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</si>
  <si>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</si>
  <si>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</si>
  <si>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</si>
  <si>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</si>
  <si>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</si>
  <si>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</si>
  <si>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</si>
  <si>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</si>
  <si>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</si>
  <si>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</si>
  <si>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</si>
  <si>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</si>
  <si>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</si>
  <si>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</si>
  <si>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</si>
  <si>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</si>
  <si>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</si>
  <si>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</si>
  <si>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</si>
  <si>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</si>
  <si>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</si>
  <si>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</si>
  <si>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</si>
  <si>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</si>
  <si>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</si>
  <si>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</si>
  <si>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</si>
  <si>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</si>
  <si>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</si>
  <si>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</si>
  <si>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</si>
  <si>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</si>
  <si>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</si>
  <si>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</si>
  <si>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</si>
  <si>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</si>
  <si>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</si>
  <si>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</si>
  <si>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</si>
  <si>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</si>
  <si>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</si>
  <si>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</si>
  <si>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</si>
  <si>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</si>
  <si>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</si>
  <si>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</si>
  <si>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</si>
  <si>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</si>
  <si>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</si>
  <si>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</si>
  <si>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</si>
  <si>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</si>
  <si>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</si>
  <si>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</si>
  <si>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</si>
  <si>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</si>
  <si>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</si>
  <si>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</si>
  <si>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</si>
  <si>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</si>
  <si>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</si>
  <si>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</si>
  <si>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</si>
  <si>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</si>
  <si>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</si>
  <si>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</si>
  <si>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</si>
  <si>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</si>
  <si>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</si>
  <si>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</si>
  <si>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</si>
  <si>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</si>
  <si>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</si>
  <si>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</si>
  <si>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</si>
  <si>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</si>
  <si>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</si>
  <si>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</si>
  <si>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</si>
  <si>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</si>
  <si>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</si>
  <si>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</si>
  <si>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</si>
  <si>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</si>
  <si>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</si>
  <si>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</si>
  <si>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</si>
  <si>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</si>
  <si>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</si>
  <si>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</si>
  <si>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</si>
  <si>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</si>
  <si>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</si>
  <si>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</si>
  <si>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</si>
  <si>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</si>
  <si>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</si>
  <si>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</si>
  <si>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</si>
  <si>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</si>
  <si>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</si>
  <si>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</si>
  <si>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</si>
  <si>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</si>
  <si>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</si>
  <si>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</si>
  <si>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</si>
  <si>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</si>
  <si>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</si>
  <si>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</si>
  <si>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</si>
  <si>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</si>
  <si>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</si>
  <si>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</si>
  <si>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</si>
  <si>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</si>
  <si>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</si>
  <si>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</si>
  <si>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</si>
  <si>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</si>
  <si>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</si>
  <si>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</si>
  <si>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</si>
  <si>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</si>
  <si>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</si>
  <si>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</si>
  <si>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</si>
  <si>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</si>
  <si>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</si>
  <si>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</si>
  <si>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</si>
  <si>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</si>
  <si>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</si>
  <si>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</si>
  <si>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</si>
  <si>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</si>
  <si>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</si>
  <si>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</si>
  <si>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</si>
  <si>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</si>
  <si>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</si>
  <si>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</si>
  <si>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</si>
  <si>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</si>
  <si>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</si>
  <si>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</si>
  <si>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</si>
  <si>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</si>
  <si>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</si>
  <si>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</si>
  <si>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</si>
  <si>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</si>
  <si>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</si>
  <si>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</si>
  <si>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</si>
  <si>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</si>
  <si>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</si>
  <si>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</si>
  <si>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</si>
  <si>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</si>
  <si>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</si>
  <si>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</si>
  <si>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</si>
  <si>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</si>
  <si>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</si>
  <si>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</si>
  <si>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</si>
  <si>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</si>
  <si>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</si>
  <si>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</si>
  <si>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</si>
  <si>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</si>
  <si>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</si>
  <si>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</si>
  <si>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</si>
  <si>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</si>
  <si>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</si>
  <si>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</si>
  <si>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</si>
  <si>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</si>
  <si>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</si>
  <si>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</si>
  <si>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</si>
  <si>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</si>
  <si>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</si>
  <si>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</si>
  <si>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</si>
  <si>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</si>
  <si>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</si>
  <si>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</si>
  <si>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</si>
  <si>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</si>
  <si>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</si>
  <si>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</si>
  <si>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</si>
  <si>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</si>
  <si>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</si>
  <si>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</si>
  <si>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</si>
  <si>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</si>
  <si>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</si>
  <si>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</si>
  <si>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</si>
  <si>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</si>
  <si>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</si>
  <si>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</si>
  <si>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</si>
  <si>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</si>
  <si>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</si>
  <si>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</si>
  <si>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</si>
  <si>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</si>
  <si>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</si>
  <si>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</si>
  <si>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</si>
  <si>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</si>
  <si>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</si>
  <si>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</si>
  <si>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</si>
  <si>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</si>
  <si>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</si>
  <si>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</si>
  <si>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</si>
  <si>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</si>
  <si>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</si>
  <si>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</si>
  <si>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</si>
  <si>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</si>
  <si>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</si>
  <si>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</si>
  <si>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</si>
  <si>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</si>
  <si>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</si>
  <si>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</si>
  <si>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</si>
  <si>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</si>
  <si>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</si>
  <si>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</si>
  <si>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</si>
  <si>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</si>
  <si>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</si>
  <si>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</si>
  <si>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</si>
  <si>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</si>
  <si>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</si>
  <si>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</si>
  <si>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</si>
  <si>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</si>
  <si>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</si>
  <si>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</si>
  <si>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</si>
  <si>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</si>
  <si>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</si>
  <si>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</si>
  <si>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</si>
  <si>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</si>
  <si>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</si>
  <si>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</si>
  <si>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</si>
  <si>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</si>
  <si>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</si>
  <si>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</si>
  <si>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</si>
  <si>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</si>
  <si>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</si>
  <si>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</si>
  <si>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</si>
  <si>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</si>
  <si>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</si>
  <si>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</si>
  <si>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</si>
  <si>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</si>
  <si>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</si>
  <si>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</si>
  <si>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</si>
  <si>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</si>
  <si>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</si>
  <si>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</si>
  <si>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</si>
  <si>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</si>
  <si>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</si>
  <si>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</si>
  <si>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</si>
  <si>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</si>
  <si>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</si>
  <si>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</si>
  <si>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</si>
  <si>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</si>
  <si>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</si>
  <si>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</si>
  <si>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</si>
  <si>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</si>
  <si>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</si>
  <si>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</si>
  <si>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</si>
  <si>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</si>
  <si>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</si>
  <si>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</si>
  <si>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</si>
  <si>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</si>
  <si>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</si>
  <si>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</si>
  <si>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</si>
  <si>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</si>
  <si>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</si>
  <si>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</si>
  <si>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</si>
  <si>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</si>
  <si>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</si>
  <si>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</si>
  <si>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</si>
  <si>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</si>
  <si>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</si>
  <si>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</si>
  <si>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</si>
  <si>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</si>
  <si>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</si>
  <si>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</si>
  <si>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</si>
  <si>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</si>
  <si>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</si>
  <si>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</si>
  <si>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</si>
  <si>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</si>
  <si>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</si>
  <si>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</si>
  <si>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</si>
  <si>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</si>
  <si>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</si>
  <si>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</si>
  <si>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</si>
  <si>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</si>
  <si>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</si>
  <si>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</si>
  <si>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</si>
  <si>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</si>
  <si>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</si>
  <si>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</si>
  <si>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</si>
  <si>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</si>
  <si>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</si>
  <si>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</si>
  <si>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</si>
  <si>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</si>
  <si>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</si>
  <si>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</si>
  <si>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</si>
  <si>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</si>
  <si>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</si>
  <si>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</si>
  <si>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</si>
  <si>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</si>
  <si>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</si>
  <si>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</si>
  <si>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</si>
  <si>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</si>
  <si>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</si>
  <si>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</si>
  <si>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</si>
  <si>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</si>
  <si>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</si>
  <si>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</si>
  <si>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</si>
  <si>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</si>
  <si>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</si>
  <si>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</si>
  <si>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</si>
  <si>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</si>
  <si>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</si>
  <si>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</si>
  <si>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</si>
  <si>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</si>
  <si>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</si>
  <si>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</si>
  <si>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</si>
  <si>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</si>
  <si>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</si>
  <si>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</si>
  <si>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</si>
  <si>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</si>
  <si>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</si>
  <si>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</si>
  <si>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</si>
  <si>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</si>
  <si>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</si>
  <si>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</si>
  <si>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</si>
  <si>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</si>
  <si>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</si>
  <si>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</si>
  <si>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</si>
  <si>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</si>
  <si>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</si>
  <si>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</si>
  <si>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</si>
  <si>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</si>
  <si>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</si>
  <si>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</si>
  <si>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</si>
  <si>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付費占比（＝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</si>
  <si>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＝免費占服務（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</si>
  <si>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</si>
  <si>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</si>
  <si>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</si>
  <si>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</si>
  <si>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</si>
  <si>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</si>
  <si>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</si>
  <si>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</si>
  <si>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</si>
  <si>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</si>
  <si>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</si>
  <si>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</si>
  <si>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</si>
  <si>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</si>
  <si>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</si>
  <si>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</si>
  <si>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</si>
  <si>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</si>
  <si>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</si>
  <si>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</si>
  <si>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</si>
  <si>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</si>
  <si>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</si>
  <si>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</si>
  <si>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</si>
  <si>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</si>
  <si>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</si>
  <si>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</si>
  <si>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</si>
  <si>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</si>
  <si>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</si>
  <si>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</si>
  <si>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</si>
  <si>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</si>
  <si>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</si>
  <si>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</si>
  <si>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</si>
  <si>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</si>
  <si>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</si>
  <si>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</si>
  <si>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</si>
  <si>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</si>
  <si>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</si>
  <si>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</si>
  <si>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世代組合持有成本；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Alloc_In </t>
    </r>
    <r>
      <rPr>
        <sz val="9"/>
        <color rgb="FF595959"/>
        <rFont val="Noto Sans CJK SC"/>
        <family val="2"/>
      </rPr>
      <t xml:space="preserve">計價倍數（</t>
    </r>
    <r>
      <rPr>
        <sz val="9"/>
        <color rgb="FF595959"/>
        <rFont val="Arial"/>
        <family val="0"/>
        <charset val="1"/>
      </rPr>
      <t xml:space="preserve">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請求形狀修正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取高／取低同向）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</si>
  <si>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</si>
  <si>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</si>
  <si>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</si>
  <si>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</si>
  <si>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</si>
  <si>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</si>
  <si>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</si>
  <si>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</si>
  <si>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</si>
  <si>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</si>
  <si>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</si>
  <si>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</si>
  <si>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</si>
  <si>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</si>
  <si>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</si>
  <si>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</si>
  <si>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</si>
  <si>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</si>
  <si>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</si>
  <si>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</si>
  <si>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機隊口徑混合有效單價（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</si>
  <si>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</si>
  <si>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</si>
  <si>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機隊口徑混合有效單價（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</si>
  <si>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</si>
  <si>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</si>
  <si>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</si>
  <si>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</si>
  <si>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</si>
  <si>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</si>
  <si>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</si>
  <si>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</si>
  <si>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</si>
  <si>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</si>
  <si>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</si>
  <si>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</si>
  <si>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</si>
  <si>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</si>
  <si>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</si>
  <si>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</si>
  <si>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</si>
  <si>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</si>
  <si>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</si>
  <si>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</si>
  <si>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</si>
  <si>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</si>
  <si>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</si>
  <si>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</si>
  <si>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</si>
  <si>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</si>
  <si>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</si>
  <si>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</si>
  <si>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</si>
  <si>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</si>
  <si>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</si>
  <si>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</si>
  <si>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</si>
  <si>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</si>
  <si>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</si>
  <si>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</si>
  <si>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</si>
  <si>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</si>
  <si>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</si>
  <si>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</si>
  <si>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</si>
  <si>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</si>
  <si>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</si>
  <si>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</si>
  <si>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</si>
  <si>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</si>
  <si>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</si>
  <si>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</si>
  <si>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</si>
  <si>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</si>
  <si>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</si>
  <si>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</si>
  <si>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</si>
  <si>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</si>
  <si>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</si>
  <si>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</si>
  <si>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</si>
  <si>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</si>
  <si>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</si>
  <si>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</si>
  <si>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</si>
  <si>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</si>
  <si>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</si>
  <si>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</si>
  <si>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</si>
  <si>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</si>
  <si>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</si>
  <si>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</si>
  <si>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</si>
  <si>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</si>
  <si>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</si>
  <si>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</si>
  <si>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</si>
  <si>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</si>
  <si>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</si>
  <si>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</si>
  <si>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</si>
  <si>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</si>
  <si>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</si>
  <si>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</si>
  <si>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</si>
  <si>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</si>
  <si>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</si>
  <si>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</si>
  <si>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</si>
  <si>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</si>
  <si>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</si>
  <si>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</si>
  <si>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</si>
  <si>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</si>
  <si>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</si>
  <si>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</si>
  <si>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</si>
  <si>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0.465 → M4 </t>
    </r>
    <r>
      <rPr>
        <sz val="9"/>
        <color rgb="FF595959"/>
        <rFont val="Noto Sans CJK SC"/>
        <family val="2"/>
      </rPr>
      <t xml:space="preserve">觸發（預期）：需求路線只數到機隊產出的一半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</si>
  <si>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</si>
  <si>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判讀）</t>
    </r>
  </si>
  <si>
    <r>
      <rPr>
        <b val="true"/>
        <sz val="10"/>
        <rFont val="Noto Sans CJK SC"/>
        <family val="2"/>
      </rPr>
      <t xml:space="preserve">閉合解：令需求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（付費＋免費）佔滿機隊有效產能所需的每則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（三步）；錨點 </t>
    </r>
    <r>
      <rPr>
        <b val="true"/>
        <sz val="10"/>
        <rFont val="Arial"/>
        <family val="0"/>
        <charset val="1"/>
      </rPr>
      <t xml:space="preserve">τ* ≈ 13,950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</si>
  <si>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</si>
  <si>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</si>
  <si>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</si>
  <si>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</si>
  <si>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</si>
  <si>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</si>
  <si>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</si>
  <si>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</si>
  <si>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</si>
  <si>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</si>
  <si>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</si>
  <si>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</si>
  <si>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</si>
  <si>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</si>
  <si>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</si>
  <si>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</si>
  <si>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</si>
  <si>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</si>
  <si>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</si>
  <si>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</si>
  <si>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</si>
  <si>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</si>
  <si>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</si>
  <si>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</si>
  <si>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</si>
  <si>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</si>
  <si>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</si>
  <si>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</si>
  <si>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</si>
  <si>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</si>
  <si>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</si>
  <si>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</si>
  <si>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</si>
  <si>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</si>
  <si>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</si>
  <si>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</si>
  <si>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</si>
  <si>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</si>
  <si>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</si>
  <si>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</si>
  <si>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</si>
  <si>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</si>
  <si>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</si>
  <si>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</si>
  <si>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</si>
  <si>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</si>
  <si>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</si>
  <si>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</si>
  <si>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</si>
  <si>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</si>
  <si>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</si>
  <si>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</si>
  <si>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</si>
  <si>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</si>
  <si>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</si>
  <si>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</si>
  <si>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</si>
  <si>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</si>
  <si>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列；四欄同值，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</si>
  <si>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</si>
  <si>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</si>
  <si>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</si>
  <si>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</si>
  <si>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</si>
  <si>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</si>
  <si>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</si>
  <si>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</si>
  <si>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</si>
  <si>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</si>
  <si>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</si>
  <si>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</si>
  <si>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</si>
  <si>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</si>
  <si>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</si>
  <si>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</si>
  <si>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</si>
  <si>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</si>
  <si>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</si>
  <si>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</si>
  <si>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</si>
  <si>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</si>
  <si>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</si>
  <si>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</si>
  <si>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</si>
  <si>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</si>
  <si>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</si>
  <si>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</si>
  <si>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</si>
  <si>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</si>
  <si>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</si>
  <si>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</si>
  <si>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</si>
  <si>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</si>
  <si>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</si>
  <si>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</si>
  <si>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</si>
  <si>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</si>
  <si>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</si>
  <si>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</si>
  <si>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</si>
  <si>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</si>
  <si>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</si>
  <si>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</si>
  <si>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</si>
  <si>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</si>
  <si>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</si>
  <si>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</si>
  <si>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</si>
  <si>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</si>
  <si>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</si>
  <si>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</si>
  <si>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</si>
  <si>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</si>
  <si>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</si>
  <si>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</si>
  <si>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</si>
  <si>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</si>
  <si>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</si>
  <si>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</si>
  <si>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</si>
  <si>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</si>
  <si>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</si>
  <si>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</si>
  <si>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</si>
  <si>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</si>
  <si>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</si>
  <si>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</si>
  <si>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</si>
  <si>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0.3645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0.8098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L1_FleetBreakeven 0.1505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CTL_ProdDerate 0.85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</si>
  <si>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</si>
  <si>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0.5237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0.5637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</si>
  <si>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</si>
  <si>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</si>
  <si>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</si>
  <si>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</si>
  <si>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</si>
  <si>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</si>
  <si>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</si>
  <si>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</si>
  <si>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</si>
  <si>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</si>
  <si>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</si>
  <si>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</si>
  <si>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</si>
  <si>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</si>
  <si>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</si>
  <si>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</si>
  <si>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</si>
  <si>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</si>
  <si>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</si>
  <si>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</si>
  <si>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</si>
  <si>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</si>
  <si>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</si>
  <si>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</si>
  <si>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</si>
  <si>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</si>
  <si>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</si>
  <si>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2.207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閉合比 </t>
    </r>
    <r>
      <rPr>
        <sz val="9"/>
        <color rgb="FF595959"/>
        <rFont val="Arial"/>
        <family val="0"/>
        <charset val="1"/>
      </rPr>
      <t xml:space="preserve">0.4531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2.152</t>
    </r>
    <r>
      <rPr>
        <sz val="9"/>
        <color rgb="FF595959"/>
        <rFont val="Noto Sans CJK SC"/>
        <family val="2"/>
      </rPr>
      <t xml:space="preserve">）；只算基準欄：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區間端點改變，</t>
    </r>
    <r>
      <rPr>
        <sz val="9"/>
        <color rgb="FF595959"/>
        <rFont val="Arial"/>
        <family val="0"/>
        <charset val="1"/>
      </rPr>
      <t xml:space="preserve">ScaleServe </t>
    </r>
    <r>
      <rPr>
        <sz val="9"/>
        <color rgb="FF595959"/>
        <rFont val="Noto Sans CJK SC"/>
        <family val="2"/>
      </rPr>
      <t xml:space="preserve">以基準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欄不成立；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：分母的實際利用率乘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（與第 </t>
    </r>
    <r>
      <rPr>
        <sz val="9"/>
        <color rgb="FF595959"/>
        <rFont val="Arial"/>
        <family val="0"/>
        <charset val="1"/>
      </rPr>
      <t xml:space="preserve">114 </t>
    </r>
    <r>
      <rPr>
        <sz val="9"/>
        <color rgb="FF595959"/>
        <rFont val="Noto Sans CJK SC"/>
        <family val="2"/>
      </rPr>
      <t xml:space="preserve">列一致，驗算差仍須為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</si>
  <si>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</si>
  <si>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</si>
  <si>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</si>
  <si>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</si>
  <si>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</si>
  <si>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</si>
  <si>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</si>
  <si>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</si>
  <si>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</si>
  <si>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</si>
  <si>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</si>
  <si>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</si>
  <si>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</si>
  <si>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</si>
  <si>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</si>
  <si>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</si>
  <si>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</si>
  <si>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</si>
  <si>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</si>
  <si>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</si>
  <si>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</si>
  <si>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</si>
  <si>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</si>
  <si>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</si>
  <si>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</si>
  <si>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</si>
  <si>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</si>
  <si>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</si>
  <si>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</si>
  <si>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</si>
  <si>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</si>
  <si>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</si>
  <si>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</si>
  <si>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</si>
  <si>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</si>
  <si>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</si>
  <si>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</si>
  <si>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</si>
  <si>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</si>
  <si>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</si>
  <si>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</si>
  <si>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</si>
  <si>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</si>
  <si>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</si>
  <si>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</si>
  <si>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</si>
  <si>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</si>
  <si>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</si>
  <si>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</si>
  <si>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</si>
  <si>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</si>
  <si>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</si>
  <si>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</si>
  <si>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</si>
  <si>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</si>
  <si>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</si>
  <si>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</si>
  <si>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</si>
  <si>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</si>
  <si>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</si>
  <si>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</si>
  <si>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</si>
  <si>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</si>
  <si>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</si>
  <si>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</si>
  <si>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</si>
  <si>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</si>
  <si>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</si>
  <si>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</si>
  <si>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</si>
  <si>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</si>
  <si>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</si>
  <si>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</si>
  <si>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</si>
  <si>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</si>
  <si>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</si>
  <si>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</si>
  <si>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</si>
  <si>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</si>
  <si>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</si>
  <si>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</si>
  <si>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</si>
  <si>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</si>
  <si>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</si>
  <si>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</si>
  <si>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</si>
  <si>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</si>
  <si>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</si>
  <si>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</si>
  <si>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</si>
  <si>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</si>
  <si>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</si>
  <si>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</si>
  <si>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</si>
  <si>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</si>
  <si>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</si>
  <si>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</si>
  <si>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</si>
  <si>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</si>
  <si>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</si>
  <si>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</si>
  <si>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</si>
  <si>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</si>
  <si>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</si>
  <si>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</si>
  <si>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</si>
  <si>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</si>
  <si>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</si>
  <si>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</si>
  <si>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</si>
  <si>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</si>
  <si>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</si>
  <si>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</si>
  <si>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</si>
  <si>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</si>
  <si>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</si>
  <si>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</si>
  <si>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</si>
  <si>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</si>
  <si>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</si>
  <si>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</si>
  <si>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</si>
  <si>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</si>
  <si>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</si>
  <si>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</si>
  <si>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</si>
  <si>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</si>
  <si>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</si>
  <si>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</si>
  <si>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</si>
  <si>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</si>
  <si>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</si>
  <si>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</si>
  <si>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</si>
  <si>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</si>
  <si>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</si>
  <si>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</si>
  <si>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</si>
  <si>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</si>
  <si>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</si>
  <si>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</si>
  <si>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</si>
  <si>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</si>
  <si>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</si>
  <si>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</si>
  <si>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</si>
  <si>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</si>
  <si>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</si>
  <si>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</si>
  <si>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</si>
  <si>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</si>
  <si>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</si>
  <si>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</si>
  <si>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</si>
  <si>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</si>
  <si>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</si>
  <si>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</si>
  <si>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</si>
  <si>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</si>
  <si>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</si>
  <si>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</si>
  <si>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</si>
  <si>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</si>
  <si>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</si>
  <si>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</si>
  <si>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</si>
  <si>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</si>
  <si>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</si>
  <si>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</si>
  <si>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</si>
  <si>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</si>
  <si>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</si>
  <si>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</si>
  <si>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</si>
  <si>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</si>
  <si>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</si>
  <si>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</si>
  <si>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</si>
  <si>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</si>
  <si>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</si>
  <si>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</si>
  <si>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</si>
  <si>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</si>
  <si>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</si>
  <si>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</si>
  <si>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</si>
  <si>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</si>
  <si>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</si>
  <si>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</si>
  <si>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</si>
  <si>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</si>
  <si>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</si>
  <si>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</si>
  <si>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</si>
  <si>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</si>
  <si>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</si>
  <si>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</si>
  <si>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</si>
  <si>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</si>
  <si>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</si>
  <si>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</si>
  <si>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</si>
  <si>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</si>
  <si>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</si>
  <si>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</si>
  <si>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</si>
  <si>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</si>
  <si>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</si>
  <si>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</si>
  <si>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</si>
  <si>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</si>
  <si>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</si>
  <si>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</si>
  <si>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</si>
  <si>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</si>
  <si>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</si>
  <si>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</si>
  <si>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</si>
  <si>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</si>
  <si>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</si>
  <si>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</si>
  <si>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</si>
  <si>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</si>
  <si>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</si>
  <si>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</si>
  <si>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</si>
  <si>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</si>
  <si>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</si>
  <si>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</si>
  <si>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</si>
  <si>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</si>
  <si>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</si>
  <si>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</si>
  <si>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</si>
  <si>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</si>
  <si>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</si>
  <si>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</si>
  <si>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</si>
  <si>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</si>
  <si>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</si>
  <si>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</si>
  <si>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</si>
  <si>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</si>
  <si>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</si>
  <si>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</si>
  <si>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</si>
  <si>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</si>
  <si>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</si>
  <si>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</si>
  <si>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</si>
  <si>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</si>
  <si>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</si>
  <si>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</si>
  <si>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</si>
  <si>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</si>
  <si>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</si>
  <si>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</si>
  <si>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</si>
  <si>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</si>
  <si>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</si>
  <si>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</si>
  <si>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</si>
  <si>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</si>
  <si>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</si>
  <si>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</si>
  <si>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</si>
  <si>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</si>
  <si>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</si>
  <si>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</si>
  <si>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</si>
  <si>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</si>
  <si>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</si>
  <si>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</si>
  <si>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</si>
  <si>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</si>
  <si>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</si>
  <si>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</si>
  <si>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</si>
  <si>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</si>
  <si>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</si>
  <si>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</si>
  <si>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</si>
  <si>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</si>
  <si>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</si>
  <si>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</si>
  <si>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</si>
  <si>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</si>
  <si>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</si>
  <si>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</si>
  <si>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</si>
  <si>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</si>
  <si>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</si>
  <si>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</si>
  <si>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</si>
  <si>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</si>
  <si>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</si>
  <si>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</si>
  <si>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</si>
  <si>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</si>
  <si>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</si>
  <si>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</si>
  <si>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</si>
  <si>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</si>
  <si>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</si>
  <si>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</si>
  <si>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</si>
  <si>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</si>
  <si>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</si>
  <si>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</si>
  <si>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</si>
  <si>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</si>
  <si>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</si>
  <si>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</si>
  <si>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</si>
  <si>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</si>
  <si>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</si>
  <si>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</si>
  <si>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</si>
  <si>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</si>
  <si>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</si>
  <si>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</si>
  <si>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</si>
  <si>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</si>
  <si>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</si>
  <si>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</si>
  <si>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</si>
  <si>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</si>
  <si>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</si>
  <si>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</si>
  <si>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</si>
  <si>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</si>
  <si>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</si>
  <si>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</si>
  <si>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</si>
  <si>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</si>
  <si>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</si>
  <si>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</si>
  <si>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</si>
  <si>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</si>
  <si>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</si>
  <si>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</si>
  <si>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</si>
  <si>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</si>
  <si>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</si>
  <si>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</si>
  <si>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</si>
  <si>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</si>
  <si>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</si>
  <si>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</si>
  <si>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</si>
  <si>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</si>
  <si>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</si>
  <si>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</si>
  <si>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</si>
  <si>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</si>
  <si>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</si>
  <si>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</si>
  <si>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</si>
  <si>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</si>
  <si>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</si>
  <si>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</si>
  <si>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</si>
  <si>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</si>
  <si>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</si>
  <si>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</si>
  <si>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</si>
  <si>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</si>
  <si>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</si>
  <si>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</si>
  <si>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</si>
  <si>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</si>
  <si>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</si>
  <si>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</si>
  <si>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</si>
  <si>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</si>
  <si>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</si>
  <si>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</si>
  <si>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</si>
  <si>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</si>
  <si>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</si>
  <si>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</si>
  <si>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</si>
  <si>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</si>
  <si>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</si>
  <si>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</si>
  <si>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</si>
  <si>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</si>
  <si>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</si>
  <si>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</si>
  <si>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</si>
  <si>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</si>
  <si>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</si>
  <si>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</si>
  <si>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</si>
  <si>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</si>
  <si>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</si>
  <si>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</si>
  <si>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</si>
  <si>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</si>
  <si>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</si>
  <si>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</si>
  <si>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</si>
  <si>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</si>
  <si>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</si>
  <si>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</si>
  <si>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</si>
  <si>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</si>
  <si>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</si>
  <si>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</si>
  <si>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</si>
  <si>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</si>
  <si>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</si>
  <si>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</si>
  <si>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</si>
  <si>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</si>
  <si>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</si>
  <si>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</si>
  <si>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</si>
  <si>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</si>
  <si>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</si>
  <si>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</si>
  <si>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</si>
  <si>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</si>
  <si>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</si>
  <si>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</si>
  <si>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</si>
  <si>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</si>
  <si>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</si>
  <si>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</si>
  <si>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</si>
  <si>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</si>
  <si>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</si>
  <si>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</si>
  <si>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</si>
  <si>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</si>
  <si>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</si>
  <si>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</si>
  <si>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</si>
  <si>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</si>
  <si>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</si>
  <si>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</si>
  <si>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</si>
  <si>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</si>
  <si>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</si>
  <si>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</si>
  <si>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</si>
  <si>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</si>
  <si>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</si>
  <si>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</si>
  <si>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</si>
  <si>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</si>
  <si>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</si>
  <si>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</si>
  <si>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</si>
  <si>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</si>
  <si>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</si>
  <si>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</si>
  <si>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</si>
  <si>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</si>
  <si>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</si>
  <si>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</si>
  <si>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</si>
  <si>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</si>
  <si>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</si>
  <si>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</si>
  <si>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</si>
  <si>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</si>
  <si>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</si>
  <si>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</si>
  <si>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</si>
  <si>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</si>
  <si>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</si>
  <si>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</si>
  <si>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</si>
  <si>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</si>
  <si>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</si>
  <si>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</si>
  <si>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</si>
  <si>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</si>
  <si>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</si>
  <si>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</si>
  <si>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</si>
  <si>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</si>
  <si>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</si>
  <si>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</si>
  <si>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</si>
  <si>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</si>
  <si>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</si>
  <si>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</si>
  <si>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</si>
  <si>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</si>
  <si>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</si>
  <si>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</si>
  <si>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</si>
  <si>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</si>
  <si>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</si>
  <si>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</si>
  <si>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</si>
  <si>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</si>
  <si>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</si>
  <si>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</si>
  <si>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</si>
  <si>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</si>
  <si>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</si>
  <si>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</si>
  <si>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</si>
  <si>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</si>
  <si>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</si>
  <si>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</si>
  <si>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</si>
  <si>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</si>
  <si>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</si>
  <si>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</si>
  <si>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</si>
  <si>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</si>
  <si>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</si>
  <si>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</si>
  <si>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</si>
  <si>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</si>
  <si>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</si>
  <si>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</si>
  <si>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</si>
  <si>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</si>
  <si>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</si>
  <si>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</si>
  <si>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</si>
  <si>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</si>
  <si>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</si>
  <si>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</si>
  <si>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</si>
  <si>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</si>
  <si>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</si>
  <si>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</si>
  <si>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</si>
  <si>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</si>
  <si>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</si>
  <si>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</si>
  <si>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</si>
  <si>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</si>
  <si>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</si>
  <si>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</si>
  <si>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</si>
  <si>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</si>
  <si>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</si>
  <si>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</si>
  <si>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</si>
  <si>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</si>
  <si>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</si>
  <si>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</si>
  <si>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</si>
  <si>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</si>
  <si>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</si>
  <si>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</si>
  <si>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</si>
  <si>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</si>
  <si>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</si>
  <si>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</si>
  <si>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</si>
  <si>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</si>
  <si>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</si>
  <si>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</si>
  <si>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</si>
  <si>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</si>
  <si>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</si>
  <si>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</si>
  <si>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</si>
  <si>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</si>
  <si>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</si>
  <si>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</si>
  <si>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</si>
  <si>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</si>
  <si>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</si>
  <si>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</si>
  <si>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</si>
  <si>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</si>
  <si>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</si>
  <si>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</si>
  <si>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</si>
  <si>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</si>
  <si>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</si>
  <si>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</si>
  <si>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</si>
  <si>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</si>
  <si>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</si>
  <si>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</si>
  <si>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的付費組合權重（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</t>
    </r>
  </si>
  <si>
    <t xml:space="preserve">未服務需求占比（免費）＝被排除層級的免費組合權重合計</t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</si>
  <si>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</si>
  <si>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</si>
  <si>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</si>
  <si>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</si>
  <si>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</si>
  <si>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</si>
  <si>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</si>
  <si>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</si>
  <si>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</si>
  <si>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</si>
  <si>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</si>
  <si>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</si>
  <si>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</si>
  <si>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</si>
  <si>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</si>
  <si>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</si>
  <si>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</si>
  <si>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</si>
  <si>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</si>
  <si>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</si>
  <si>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</si>
  <si>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</si>
  <si>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</si>
  <si>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</si>
  <si>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</si>
  <si>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</si>
  <si>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</si>
  <si>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</si>
  <si>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</si>
  <si>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</si>
  <si>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</si>
  <si>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</si>
  <si>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</si>
  <si>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</si>
  <si>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</si>
  <si>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</si>
  <si>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</si>
  <si>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</si>
  <si>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</si>
  <si>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</si>
  <si>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</si>
  <si>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</si>
  <si>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</si>
  <si>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</si>
  <si>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</si>
  <si>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</si>
  <si>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</si>
  <si>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</si>
  <si>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</si>
  <si>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</si>
  <si>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</si>
  <si>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</si>
  <si>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</si>
  <si>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</si>
  <si>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</si>
  <si>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</si>
  <si>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</si>
  <si>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</si>
  <si>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</si>
  <si>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</si>
  <si>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</si>
  <si>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</si>
  <si>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</si>
  <si>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</si>
  <si>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</si>
  <si>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</si>
  <si>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</si>
  <si>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</si>
  <si>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</si>
  <si>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</si>
  <si>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</si>
  <si>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</si>
  <si>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</si>
  <si>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</si>
  <si>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</si>
  <si>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</si>
  <si>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</si>
  <si>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</si>
  <si>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</si>
  <si>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</si>
  <si>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</si>
  <si>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</si>
  <si>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</si>
  <si>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</si>
  <si>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</si>
  <si>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</si>
  <si>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</si>
  <si>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</si>
  <si>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</si>
  <si>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</si>
  <si>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</si>
  <si>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</si>
  <si>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</si>
  <si>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</si>
  <si>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</si>
  <si>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</si>
  <si>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</si>
  <si>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</si>
  <si>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</si>
  <si>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</si>
  <si>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</si>
  <si>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</si>
  <si>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</si>
  <si>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</si>
  <si>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</si>
  <si>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</si>
  <si>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</si>
  <si>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</si>
  <si>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</si>
  <si>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</si>
  <si>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</si>
  <si>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</si>
  <si>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</si>
  <si>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</si>
  <si>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</si>
  <si>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</si>
  <si>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</si>
  <si>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</si>
  <si>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</si>
  <si>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</si>
  <si>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</si>
  <si>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</si>
  <si>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</si>
  <si>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</si>
  <si>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</si>
  <si>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</si>
  <si>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</si>
  <si>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不可達），單價較低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</si>
  <si>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</si>
  <si>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</si>
  <si>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</si>
  <si>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</si>
  <si>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</si>
  <si>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</si>
  <si>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</si>
  <si>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</si>
  <si>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</si>
  <si>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</si>
  <si>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</si>
  <si>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</si>
  <si>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</si>
  <si>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</si>
  <si>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</si>
  <si>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</si>
  <si>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</si>
  <si>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</si>
  <si>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</si>
  <si>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</si>
  <si>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</si>
  <si>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</si>
  <si>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</si>
  <si>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</si>
  <si>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</si>
  <si>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</si>
  <si>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</si>
  <si>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</si>
  <si>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</si>
  <si>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</si>
  <si>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</si>
  <si>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</si>
  <si>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</si>
  <si>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</si>
  <si>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</si>
  <si>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</si>
  <si>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</si>
  <si>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</si>
  <si>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</si>
  <si>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</si>
  <si>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</si>
  <si>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</si>
  <si>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</si>
  <si>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</si>
  <si>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</si>
  <si>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</si>
  <si>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</si>
  <si>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</si>
  <si>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</si>
  <si>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</si>
  <si>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</si>
  <si>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</si>
  <si>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</si>
  <si>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</si>
  <si>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</si>
  <si>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</si>
  <si>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</si>
  <si>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</si>
  <si>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</si>
  <si>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</si>
  <si>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</si>
  <si>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</si>
  <si>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</si>
  <si>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</si>
  <si>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</si>
  <si>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</si>
  <si>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</si>
  <si>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</si>
  <si>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</si>
  <si>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</si>
  <si>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</si>
  <si>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</si>
  <si>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</si>
  <si>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</si>
  <si>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</si>
  <si>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</si>
  <si>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</si>
  <si>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</si>
  <si>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</si>
  <si>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</si>
  <si>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</si>
  <si>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</si>
  <si>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</si>
  <si>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</si>
  <si>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</si>
  <si>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</si>
  <si>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</si>
  <si>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</si>
  <si>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</si>
  <si>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</si>
  <si>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</si>
  <si>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</si>
  <si>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</si>
  <si>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</si>
  <si>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</si>
  <si>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</si>
  <si>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</si>
  <si>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</si>
  <si>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</si>
  <si>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</si>
  <si>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</si>
  <si>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</si>
  <si>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</si>
  <si>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</si>
  <si>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</si>
  <si>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</si>
  <si>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</si>
  <si>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</si>
  <si>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</si>
  <si>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</si>
  <si>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</si>
  <si>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</si>
  <si>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</si>
  <si>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</si>
  <si>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</si>
  <si>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</si>
  <si>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</si>
  <si>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</si>
  <si>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</si>
  <si>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</si>
  <si>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</si>
  <si>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</si>
  <si>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</si>
  <si>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</si>
  <si>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</si>
  <si>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</si>
  <si>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</si>
  <si>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</si>
  <si>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</si>
  <si>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</si>
  <si>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</si>
  <si>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</si>
  <si>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</si>
  <si>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</si>
  <si>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</si>
  <si>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</si>
  <si>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</si>
  <si>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</si>
  <si>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</si>
  <si>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</si>
  <si>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</si>
  <si>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</si>
  <si>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</si>
  <si>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</si>
  <si>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</si>
  <si>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</si>
  <si>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</si>
  <si>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</si>
  <si>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</si>
  <si>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</si>
  <si>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</si>
  <si>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</si>
  <si>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</si>
  <si>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</si>
  <si>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</si>
  <si>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</si>
  <si>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</si>
  <si>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</si>
  <si>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</si>
  <si>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</si>
  <si>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</si>
  <si>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</si>
  <si>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</si>
  <si>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</si>
  <si>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</si>
  <si>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</si>
  <si>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</si>
  <si>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</si>
  <si>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</si>
  <si>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</si>
  <si>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</si>
  <si>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</si>
  <si>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</si>
  <si>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</si>
  <si>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</si>
  <si>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</si>
  <si>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</si>
  <si>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</si>
  <si>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</si>
  <si>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</si>
  <si>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</si>
  <si>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</si>
  <si>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</si>
  <si>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</si>
  <si>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</si>
  <si>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</si>
  <si>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</si>
  <si>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</si>
  <si>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</si>
  <si>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</si>
  <si>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</si>
  <si>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</si>
  <si>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</si>
  <si>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</si>
  <si>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</si>
  <si>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</si>
  <si>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</si>
  <si>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</si>
  <si>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</si>
  <si>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</si>
  <si>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</si>
  <si>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</si>
  <si>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</si>
  <si>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</si>
  <si>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</si>
  <si>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</si>
  <si>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</si>
  <si>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</si>
  <si>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</si>
  <si>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</si>
  <si>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</si>
  <si>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</si>
  <si>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</si>
  <si>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</si>
  <si>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</si>
  <si>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</si>
  <si>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</si>
  <si>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</si>
  <si>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</si>
  <si>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</si>
  <si>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</si>
  <si>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</si>
  <si>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</si>
  <si>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</si>
  <si>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</si>
  <si>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</si>
  <si>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</si>
  <si>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</si>
  <si>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</si>
  <si>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</si>
  <si>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</si>
  <si>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</si>
  <si>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</si>
  <si>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</si>
  <si>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</si>
  <si>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</si>
  <si>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</si>
  <si>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</si>
  <si>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</si>
  <si>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</si>
  <si>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</si>
  <si>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</si>
  <si>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</si>
  <si>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</si>
  <si>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</si>
  <si>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</si>
  <si>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</si>
  <si>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</si>
  <si>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</si>
  <si>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</si>
  <si>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</si>
  <si>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</si>
  <si>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</si>
  <si>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</si>
  <si>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</si>
  <si>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</si>
  <si>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</si>
  <si>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</si>
  <si>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</si>
  <si>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</si>
  <si>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</si>
  <si>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</si>
  <si>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</si>
  <si>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</si>
  <si>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</si>
  <si>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</si>
  <si>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</si>
  <si>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</si>
  <si>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</si>
  <si>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</si>
  <si>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</si>
  <si>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</si>
  <si>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</si>
  <si>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</si>
  <si>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</si>
  <si>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</si>
  <si>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</si>
  <si>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</si>
  <si>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</si>
  <si>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</si>
  <si>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</si>
  <si>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</si>
  <si>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</si>
  <si>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</si>
  <si>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</si>
  <si>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</si>
  <si>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</si>
  <si>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</si>
  <si>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</si>
  <si>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</si>
  <si>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</si>
  <si>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</si>
  <si>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</si>
  <si>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</si>
  <si>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</si>
  <si>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</si>
  <si>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</si>
  <si>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</si>
  <si>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</si>
  <si>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</si>
  <si>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</si>
  <si>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</si>
  <si>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</si>
  <si>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</si>
  <si>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</si>
  <si>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</si>
  <si>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</si>
  <si>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</si>
  <si>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</si>
  <si>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</si>
  <si>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</si>
  <si>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</si>
  <si>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</si>
  <si>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</si>
  <si>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</si>
  <si>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</si>
  <si>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</si>
  <si>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</si>
  <si>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</si>
  <si>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</si>
  <si>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</si>
  <si>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</si>
  <si>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</si>
  <si>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</si>
  <si>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</si>
  <si>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</si>
  <si>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_Util × CTL_ProdDerate → 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</si>
  <si>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</si>
  <si>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</si>
  <si>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</si>
  <si>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</si>
  <si>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</si>
  <si>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</si>
  <si>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</si>
  <si>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</si>
  <si>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</si>
  <si>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</si>
  <si>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</si>
  <si>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</si>
  <si>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</si>
  <si>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</si>
  <si>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</si>
  <si>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</si>
  <si>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</si>
  <si>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</si>
  <si>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</si>
  <si>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</si>
  <si>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</si>
  <si>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</si>
  <si>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</si>
  <si>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</si>
  <si>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</si>
  <si>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</si>
  <si>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</si>
  <si>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</si>
  <si>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</si>
  <si>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</si>
  <si>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</si>
  <si>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</si>
  <si>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</si>
  <si>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</si>
  <si>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</si>
  <si>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</si>
  <si>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</si>
  <si>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</si>
  <si>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</si>
  <si>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</si>
  <si>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</si>
  <si>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</si>
  <si>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</si>
  <si>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</si>
  <si>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</si>
  <si>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</si>
  <si>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</si>
  <si>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</si>
  <si>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</si>
  <si>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</si>
  <si>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</si>
  <si>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</si>
  <si>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</si>
  <si>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</si>
  <si>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</si>
  <si>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</si>
  <si>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</si>
  <si>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</si>
  <si>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</si>
  <si>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</si>
  <si>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</si>
  <si>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</si>
  <si>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</si>
  <si>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</si>
  <si>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</si>
  <si>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</si>
  <si>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</si>
  <si>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</si>
  <si>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</si>
  <si>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</si>
  <si>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</si>
  <si>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</si>
  <si>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</si>
  <si>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</si>
  <si>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</si>
  <si>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</si>
  <si>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</si>
  <si>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</si>
  <si>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</si>
  <si>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</si>
  <si>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</si>
  <si>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</si>
  <si>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</si>
  <si>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</si>
  <si>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</si>
  <si>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</si>
  <si>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</si>
  <si>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</si>
  <si>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</si>
  <si>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</si>
  <si>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</si>
  <si>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</si>
  <si>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</si>
  <si>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</si>
  <si>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</si>
  <si>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</si>
  <si>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</si>
  <si>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</si>
  <si>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</si>
  <si>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</si>
  <si>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</si>
  <si>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</si>
  <si>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</si>
  <si>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</si>
  <si>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</si>
  <si>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</si>
  <si>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</si>
  <si>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</si>
  <si>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</si>
  <si>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</si>
  <si>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</si>
  <si>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</si>
  <si>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</si>
  <si>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</si>
  <si>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</si>
  <si>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</si>
  <si>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</si>
  <si>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</si>
  <si>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</si>
  <si>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</si>
  <si>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</si>
  <si>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</si>
  <si>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</si>
  <si>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</si>
  <si>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</si>
  <si>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</si>
  <si>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</si>
  <si>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</si>
  <si>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</si>
  <si>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</si>
  <si>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</si>
  <si>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</si>
  <si>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</si>
  <si>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</si>
  <si>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</si>
  <si>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</si>
  <si>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</si>
  <si>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</si>
  <si>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</si>
  <si>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</si>
  <si>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</si>
  <si>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</si>
  <si>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</si>
  <si>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</si>
  <si>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</si>
  <si>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</si>
  <si>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</si>
  <si>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</si>
  <si>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</si>
  <si>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</si>
  <si>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</si>
  <si>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</si>
  <si>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</si>
  <si>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</si>
  <si>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</si>
  <si>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</si>
  <si>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</si>
  <si>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</si>
  <si>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</si>
  <si>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</si>
  <si>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</si>
  <si>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</si>
  <si>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</si>
  <si>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</si>
  <si>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</si>
  <si>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</si>
  <si>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</si>
  <si>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</si>
  <si>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</si>
  <si>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</si>
  <si>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</si>
  <si>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</si>
  <si>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</si>
  <si>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</si>
  <si>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</si>
  <si>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</si>
  <si>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</si>
  <si>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</si>
  <si>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</si>
  <si>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</si>
  <si>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</si>
  <si>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</si>
  <si>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</si>
  <si>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</si>
  <si>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</si>
  <si>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</si>
  <si>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</si>
  <si>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</si>
  <si>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</si>
  <si>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</si>
  <si>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</si>
  <si>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</si>
  <si>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</si>
  <si>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</si>
  <si>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</si>
  <si>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</si>
  <si>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</si>
  <si>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</si>
  <si>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</si>
  <si>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</si>
  <si>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</si>
  <si>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</si>
  <si>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</si>
  <si>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</si>
  <si>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</si>
  <si>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</si>
  <si>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</si>
  <si>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</si>
  <si>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</si>
  <si>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</si>
  <si>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</si>
  <si>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</si>
  <si>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</si>
  <si>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</si>
  <si>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</si>
  <si>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</si>
  <si>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</si>
  <si>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</si>
  <si>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</si>
  <si>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</si>
  <si>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</si>
  <si>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</si>
  <si>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</si>
  <si>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</si>
  <si>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</si>
  <si>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</si>
  <si>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</si>
  <si>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</si>
  <si>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</si>
  <si>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</si>
  <si>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</si>
  <si>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</si>
  <si>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</si>
  <si>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</si>
  <si>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</si>
  <si>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</si>
  <si>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</si>
  <si>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</si>
  <si>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</si>
  <si>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</si>
  <si>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</si>
  <si>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</si>
  <si>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</si>
  <si>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</si>
  <si>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</si>
  <si>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</si>
  <si>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</si>
  <si>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</si>
  <si>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</si>
  <si>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</si>
  <si>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</si>
  <si>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</si>
  <si>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</si>
  <si>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</si>
  <si>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</si>
  <si>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</si>
  <si>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</si>
  <si>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</si>
  <si>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</si>
  <si>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</si>
  <si>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</si>
  <si>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</si>
  <si>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</si>
  <si>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</si>
  <si>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</si>
  <si>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</si>
  <si>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</si>
  <si>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</si>
  <si>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</si>
  <si>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</si>
  <si>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</si>
  <si>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</si>
  <si>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</si>
  <si>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</si>
  <si>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</si>
  <si>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</si>
  <si>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</si>
  <si>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</si>
  <si>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</si>
  <si>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</si>
  <si>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</si>
  <si>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</si>
  <si>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</si>
  <si>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</si>
  <si>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</si>
  <si>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</si>
  <si>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</si>
  <si>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</si>
  <si>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</si>
  <si>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</si>
  <si>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</si>
  <si>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</si>
  <si>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</si>
  <si>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</si>
  <si>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</si>
  <si>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</si>
  <si>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</si>
  <si>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</si>
  <si>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</si>
  <si>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</si>
  <si>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</si>
  <si>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</si>
  <si>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</si>
  <si>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</si>
  <si>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</si>
  <si>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</si>
  <si>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</si>
  <si>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</si>
  <si>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</si>
  <si>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</si>
  <si>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</si>
  <si>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</si>
  <si>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</si>
  <si>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</si>
  <si>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</si>
  <si>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</si>
  <si>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</si>
  <si>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</si>
  <si>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</si>
  <si>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</si>
  <si>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</si>
  <si>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</si>
  <si>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</si>
  <si>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</si>
  <si>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</si>
  <si>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</si>
  <si>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</si>
  <si>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</si>
  <si>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</si>
  <si>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</si>
  <si>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</si>
  <si>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</si>
  <si>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</si>
  <si>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</si>
  <si>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</si>
  <si>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</si>
  <si>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</si>
  <si>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</si>
  <si>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</si>
  <si>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</si>
  <si>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</si>
  <si>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</si>
  <si>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</si>
  <si>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</si>
  <si>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</si>
  <si>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</si>
  <si>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</si>
  <si>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</si>
  <si>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</si>
  <si>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</si>
  <si>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</si>
  <si>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</si>
  <si>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</si>
  <si>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</si>
  <si>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</si>
  <si>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</si>
  <si>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</si>
  <si>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</si>
  <si>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</si>
  <si>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</si>
  <si>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</si>
  <si>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</si>
  <si>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</si>
  <si>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</si>
  <si>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</si>
  <si>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</si>
  <si>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</si>
  <si>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</si>
  <si>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</si>
  <si>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</si>
  <si>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</si>
  <si>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</si>
  <si>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</si>
  <si>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</si>
  <si>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</si>
  <si>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</si>
  <si>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</si>
  <si>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</si>
  <si>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</si>
  <si>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</si>
  <si>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</si>
  <si>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</si>
  <si>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CTL_ProdDerate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</si>
  <si>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</si>
  <si>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</si>
  <si>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含折減：＝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× CTL_ProdDerate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</si>
  <si>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</si>
  <si>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</si>
  <si>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</si>
  <si>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</si>
  <si>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</si>
  <si>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</si>
  <si>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</si>
  <si>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</si>
  <si>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</si>
  <si>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</si>
  <si>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</si>
  <si>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</si>
  <si>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</si>
  <si>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</si>
  <si>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</si>
  <si>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</si>
  <si>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</si>
  <si>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</si>
  <si>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</si>
  <si>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</si>
  <si>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</si>
  <si>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</si>
  <si>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</si>
  <si>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</si>
  <si>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</si>
  <si>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</si>
  <si>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</si>
  <si>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</si>
  <si>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</si>
  <si>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</si>
  <si>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</si>
  <si>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</si>
  <si>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</si>
  <si>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</si>
  <si>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</si>
  <si>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</si>
  <si>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</si>
  <si>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</si>
  <si>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</si>
  <si>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</si>
  <si>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</si>
  <si>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</si>
  <si>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</si>
  <si>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</si>
  <si>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</si>
  <si>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</si>
  <si>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</si>
  <si>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</si>
  <si>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</si>
  <si>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</si>
  <si>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</si>
  <si>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</si>
  <si>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</si>
  <si>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</si>
  <si>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</si>
  <si>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</si>
  <si>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</si>
  <si>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</si>
  <si>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</si>
  <si>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</si>
  <si>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</si>
  <si>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</si>
  <si>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</si>
  <si>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</si>
  <si>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</si>
  <si>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</si>
  <si>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</si>
  <si>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</si>
  <si>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</si>
  <si>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</si>
  <si>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</si>
  <si>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</si>
  <si>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</si>
  <si>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</si>
  <si>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</si>
  <si>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</si>
  <si>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</si>
  <si>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</si>
  <si>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</si>
  <si>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</si>
  <si>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</si>
  <si>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</si>
  <si>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</si>
  <si>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</si>
  <si>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</si>
  <si>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</si>
  <si>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</si>
  <si>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</si>
  <si>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</si>
  <si>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</si>
  <si>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</si>
  <si>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</si>
  <si>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</si>
  <si>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</si>
  <si>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</si>
  <si>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</si>
  <si>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</si>
  <si>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</si>
  <si>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</si>
  <si>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</si>
  <si>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</si>
  <si>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</si>
  <si>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</si>
  <si>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</si>
  <si>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</si>
  <si>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</si>
  <si>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</si>
  <si>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</si>
  <si>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</si>
  <si>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</si>
  <si>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</si>
  <si>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</si>
  <si>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</si>
  <si>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</si>
  <si>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列一致，不再乘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</si>
  <si>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</si>
  <si>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依新輸入區間 </t>
    </r>
    <r>
      <rPr>
        <sz val="10"/>
        <color rgb="FF000000"/>
        <rFont val="Arial"/>
        <family val="0"/>
        <charset val="1"/>
      </rPr>
      <t xml:space="preserve">0.3–0.4 </t>
    </r>
    <r>
      <rPr>
        <sz val="10"/>
        <color rgb="FF000000"/>
        <rFont val="Noto Sans CJK SC"/>
        <family val="2"/>
      </rPr>
      <t xml:space="preserve">反向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</si>
  <si>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 0.35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1.4571</t>
    </r>
    <r>
      <rPr>
        <sz val="10"/>
        <color rgb="FF000000"/>
        <rFont val="Noto Sans CJK SC"/>
        <family val="2"/>
      </rPr>
      <t xml:space="preserve">（誤乘 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，與機隊路線的 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 不一致）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</si>
  <si>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</si>
  <si>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</si>
  <si>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</si>
  <si>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</si>
  <si>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</si>
  <si>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</si>
  <si>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</si>
  <si>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</si>
  <si>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</si>
  <si>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</si>
  <si>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</si>
  <si>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</si>
  <si>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</si>
  <si>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</si>
  <si>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</si>
  <si>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</si>
  <si>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</si>
  <si>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</si>
  <si>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</si>
  <si>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</si>
  <si>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</si>
  <si>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</si>
  <si>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</si>
  <si>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</si>
  <si>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</si>
  <si>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</si>
  <si>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</si>
  <si>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</si>
  <si>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</si>
  <si>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</si>
  <si>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</si>
  <si>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</si>
  <si>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</si>
  <si>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</si>
  <si>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</si>
  <si>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</si>
  <si>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</si>
  <si>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</si>
  <si>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</si>
  <si>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</si>
  <si>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</si>
  <si>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</si>
  <si>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</si>
  <si>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v5.33 J7 (i)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</si>
  <si>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</si>
  <si>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</si>
  <si>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</si>
  <si>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</si>
  <si>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</si>
  <si>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</si>
  <si>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</si>
  <si>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</si>
  <si>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</si>
  <si>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</si>
  <si>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</si>
  <si>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</si>
  <si>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</si>
  <si>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</si>
  <si>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</si>
  <si>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</si>
  <si>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</si>
  <si>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</si>
  <si>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</si>
  <si>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</si>
  <si>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</si>
  <si>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</si>
  <si>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</si>
  <si>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</si>
  <si>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</si>
  <si>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</si>
  <si>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</si>
  <si>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</si>
  <si>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</si>
  <si>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</si>
  <si>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</si>
  <si>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</si>
  <si>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</si>
  <si>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</si>
  <si>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</si>
  <si>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</si>
  <si>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</si>
  <si>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</si>
  <si>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</si>
  <si>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</si>
  <si>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</si>
  <si>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</si>
  <si>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</si>
  <si>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</si>
  <si>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</si>
  <si>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</si>
  <si>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</si>
  <si>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</si>
  <si>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</si>
  <si>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</si>
  <si>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</si>
  <si>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</si>
  <si>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</si>
  <si>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</si>
  <si>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</si>
  <si>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</si>
  <si>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</si>
  <si>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</si>
  <si>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</si>
  <si>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</si>
  <si>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</si>
  <si>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</si>
  <si>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</si>
  <si>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</si>
  <si>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</si>
  <si>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</si>
  <si>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</si>
  <si>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</si>
  <si>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</si>
  <si>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</si>
  <si>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</si>
  <si>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</si>
  <si>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</si>
  <si>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</si>
  <si>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</si>
  <si>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</si>
  <si>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</si>
  <si>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</si>
  <si>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</si>
  <si>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</si>
  <si>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</si>
  <si>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</si>
  <si>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</si>
  <si>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</si>
  <si>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</si>
  <si>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</si>
  <si>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</si>
  <si>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</si>
  <si>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</si>
  <si>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</si>
  <si>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</si>
  <si>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</si>
  <si>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</si>
  <si>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</si>
  <si>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</si>
  <si>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</si>
  <si>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</si>
  <si>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</si>
  <si>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</si>
  <si>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</si>
  <si>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「必須為真」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</si>
  <si>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低）、高＝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L1_MFleet_Lo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</si>
  <si>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至少要多少才達機隊回本。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0.64</t>
    </r>
    <r>
      <rPr>
        <sz val="10"/>
        <color rgb="FF000000"/>
        <rFont val="Noto Sans CJK SC"/>
        <family val="2"/>
      </rPr>
      <t xml:space="preserve">）高於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0.36</t>
    </r>
    <r>
      <rPr>
        <sz val="10"/>
        <color rgb="FF000000"/>
        <rFont val="Noto Sans CJK SC"/>
        <family val="2"/>
      </rPr>
      <t xml:space="preserve">）→ 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口徑）；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 −25%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0.34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0.36 → </t>
    </r>
    <r>
      <rPr>
        <sz val="10"/>
        <color rgb="FF000000"/>
        <rFont val="Noto Sans CJK SC"/>
        <family val="2"/>
      </rPr>
      <t xml:space="preserve">低端情境不回本。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另見 </t>
    </r>
    <r>
      <rPr>
        <sz val="10"/>
        <color rgb="FF000000"/>
        <rFont val="Arial"/>
        <family val="0"/>
        <charset val="1"/>
      </rPr>
      <t xml:space="preserve">Cap_In I-7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口徑（所需 </t>
    </r>
    <r>
      <rPr>
        <sz val="10"/>
        <color rgb="FF000000"/>
        <rFont val="Arial"/>
        <family val="0"/>
        <charset val="1"/>
      </rPr>
      <t xml:space="preserve">L 0.52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</si>
  <si>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</si>
  <si>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</si>
  <si>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</si>
  <si>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</si>
  <si>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</si>
  <si>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</si>
  <si>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</si>
  <si>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</si>
  <si>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</si>
  <si>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</si>
  <si>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</si>
  <si>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</si>
  <si>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</si>
  <si>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</si>
  <si>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</si>
  <si>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</t>
    </r>
    <r>
      <rPr>
        <sz val="10"/>
        <color rgb="FF000000"/>
        <rFont val="Noto Sans CJK SC"/>
        <family val="2"/>
      </rPr>
      <t xml:space="preserve">機隊口徑單價（</t>
    </r>
    <r>
      <rPr>
        <sz val="10"/>
        <color rgb="FF000000"/>
        <rFont val="Arial"/>
        <family val="0"/>
        <charset val="1"/>
      </rPr>
      <t xml:space="preserve">Alloc AL_PriceFleet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v6.3 K1 </t>
    </r>
    <r>
      <rPr>
        <sz val="10"/>
        <color rgb="FF000000"/>
        <rFont val="Noto Sans CJK SC"/>
        <family val="2"/>
      </rPr>
      <t xml:space="preserve">起，原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</si>
  <si>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</si>
  <si>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</si>
  <si>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</si>
  <si>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</si>
  <si>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</si>
  <si>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</si>
  <si>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</si>
  <si>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</si>
  <si>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</si>
  <si>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</si>
  <si>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</si>
  <si>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</si>
  <si>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</si>
  <si>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</si>
  <si>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</si>
  <si>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</si>
  <si>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</si>
  <si>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</si>
  <si>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</si>
  <si>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</si>
  <si>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</si>
  <si>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</si>
  <si>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</si>
  <si>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</si>
  <si>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</si>
  <si>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</si>
  <si>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</si>
  <si>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</si>
  <si>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</si>
  <si>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</si>
  <si>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</si>
  <si>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</si>
  <si>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</si>
  <si>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</si>
  <si>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</si>
  <si>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</si>
  <si>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</si>
  <si>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</si>
  <si>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</si>
  <si>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</si>
  <si>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</si>
  <si>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</si>
  <si>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</si>
  <si>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</si>
  <si>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</si>
  <si>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</si>
  <si>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</si>
  <si>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</si>
  <si>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</si>
  <si>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</si>
  <si>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</si>
  <si>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</si>
  <si>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</si>
  <si>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</si>
  <si>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L1_MixFactorAPI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</si>
  <si>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</si>
  <si>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</si>
  <si>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</si>
  <si>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</si>
  <si>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</si>
  <si>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</si>
  <si>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</si>
  <si>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</si>
  <si>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</si>
  <si>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</si>
  <si>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</si>
  <si>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</si>
  <si>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</si>
  <si>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</si>
  <si>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</si>
  <si>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</si>
  <si>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</si>
  <si>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</si>
  <si>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</si>
  <si>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</si>
  <si>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</si>
  <si>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</si>
  <si>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</si>
  <si>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</si>
  <si>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</si>
  <si>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</si>
  <si>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</si>
  <si>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</si>
  <si>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</si>
  <si>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</si>
  <si>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</si>
  <si>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</si>
  <si>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</si>
  <si>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</si>
  <si>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</si>
  <si>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</si>
  <si>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</si>
  <si>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</si>
  <si>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</si>
  <si>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</si>
  <si>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</si>
  <si>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</si>
  <si>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</si>
  <si>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</si>
  <si>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</si>
  <si>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</si>
  <si>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</si>
  <si>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</si>
  <si>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</si>
  <si>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</si>
  <si>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</si>
  <si>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</si>
  <si>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</si>
  <si>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</si>
  <si>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</si>
  <si>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</si>
  <si>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</si>
  <si>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</si>
  <si>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</si>
  <si>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</si>
  <si>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</si>
  <si>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</si>
  <si>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</si>
  <si>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</si>
  <si>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</si>
  <si>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</si>
  <si>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</si>
  <si>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</si>
  <si>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</si>
  <si>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</si>
  <si>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</si>
  <si>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</si>
  <si>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</si>
  <si>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</si>
  <si>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</si>
  <si>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</si>
  <si>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</si>
  <si>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</si>
  <si>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</si>
  <si>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</si>
  <si>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</si>
  <si>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</si>
  <si>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</si>
  <si>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</si>
  <si>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</si>
  <si>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</si>
  <si>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</si>
  <si>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</si>
  <si>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</si>
  <si>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</si>
  <si>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</si>
  <si>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</si>
  <si>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</si>
  <si>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</si>
  <si>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</si>
  <si>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</si>
  <si>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</si>
  <si>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</si>
  <si>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</si>
  <si>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</si>
  <si>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</si>
  <si>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</si>
  <si>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</si>
  <si>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</si>
  <si>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</si>
  <si>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</si>
  <si>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</si>
  <si>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</si>
  <si>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</si>
  <si>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</si>
  <si>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</si>
  <si>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</si>
  <si>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</si>
  <si>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</si>
  <si>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</si>
  <si>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</si>
  <si>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</si>
  <si>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</si>
  <si>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</si>
  <si>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</si>
  <si>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</si>
  <si>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</si>
  <si>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</si>
  <si>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</si>
  <si>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</si>
  <si>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</si>
  <si>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</si>
  <si>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</si>
  <si>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</si>
  <si>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</si>
  <si>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</si>
  <si>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</si>
  <si>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</si>
  <si>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</si>
  <si>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</si>
  <si>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</si>
  <si>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</si>
  <si>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</si>
  <si>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</si>
  <si>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</si>
  <si>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</si>
  <si>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</si>
  <si>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</si>
  <si>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</si>
  <si>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</si>
  <si>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</si>
  <si>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</si>
  <si>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</si>
  <si>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</si>
  <si>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</si>
  <si>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</si>
  <si>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</si>
  <si>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</si>
  <si>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</si>
  <si>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</si>
  <si>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</si>
  <si>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</si>
  <si>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</si>
  <si>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</si>
  <si>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</si>
  <si>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</si>
  <si>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</si>
  <si>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</si>
  <si>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</si>
  <si>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</si>
  <si>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</si>
  <si>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</si>
  <si>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</si>
  <si>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</si>
  <si>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</si>
  <si>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</si>
  <si>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</si>
  <si>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</si>
  <si>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</si>
  <si>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</si>
  <si>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</si>
  <si>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</si>
  <si>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</si>
  <si>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</si>
  <si>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</si>
  <si>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</si>
  <si>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</si>
  <si>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</si>
  <si>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</si>
  <si>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</si>
  <si>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</si>
  <si>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</si>
  <si>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</si>
  <si>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</si>
  <si>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</si>
  <si>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</si>
  <si>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</si>
  <si>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</si>
  <si>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</si>
  <si>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</si>
  <si>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</si>
  <si>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</si>
  <si>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</si>
  <si>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</si>
  <si>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</si>
  <si>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</si>
  <si>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</si>
  <si>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速度本身可達）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</si>
  <si>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</si>
  <si>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</si>
  <si>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</si>
  <si>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</si>
  <si>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</si>
  <si>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</si>
  <si>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</si>
  <si>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</si>
  <si>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</si>
  <si>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</si>
  <si>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</si>
  <si>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</si>
  <si>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</si>
  <si>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</si>
  <si>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</si>
  <si>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</si>
  <si>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</si>
  <si>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</si>
  <si>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</si>
  <si>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</si>
  <si>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</si>
  <si>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</si>
  <si>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</si>
  <si>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</si>
  <si>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</si>
  <si>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</si>
  <si>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</si>
  <si>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</si>
  <si>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</si>
  <si>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</si>
  <si>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</si>
  <si>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</si>
  <si>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</si>
  <si>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</si>
  <si>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</si>
  <si>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</si>
  <si>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</si>
  <si>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</si>
  <si>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</si>
  <si>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</si>
  <si>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</si>
  <si>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</si>
  <si>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</si>
  <si>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</si>
  <si>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</si>
  <si>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</si>
  <si>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</si>
  <si>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</si>
  <si>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</si>
  <si>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</si>
  <si>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</si>
  <si>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</si>
  <si>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</si>
  <si>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</si>
  <si>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</si>
  <si>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</si>
  <si>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</si>
  <si>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</si>
  <si>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</si>
  <si>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</si>
  <si>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</si>
  <si>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</si>
  <si>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</si>
  <si>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</si>
  <si>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</si>
  <si>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</si>
  <si>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</si>
  <si>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</si>
  <si>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</si>
  <si>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</si>
  <si>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</si>
  <si>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</si>
  <si>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</si>
  <si>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</si>
  <si>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</si>
  <si>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</si>
  <si>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</si>
  <si>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</si>
  <si>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</si>
  <si>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</si>
  <si>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</si>
  <si>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</si>
  <si>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</si>
  <si>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</si>
  <si>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</si>
  <si>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</si>
  <si>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</si>
  <si>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</si>
  <si>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</si>
  <si>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</si>
  <si>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</si>
  <si>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</si>
  <si>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</si>
  <si>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</si>
  <si>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</si>
  <si>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</si>
  <si>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</si>
  <si>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</si>
  <si>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</si>
  <si>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</si>
  <si>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</si>
  <si>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</si>
  <si>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</si>
  <si>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</si>
  <si>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</si>
  <si>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</si>
  <si>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</si>
  <si>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</si>
  <si>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</si>
  <si>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</si>
  <si>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</si>
  <si>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</si>
  <si>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</si>
  <si>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</si>
  <si>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</si>
  <si>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</si>
  <si>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</si>
  <si>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</si>
  <si>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</si>
  <si>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</si>
  <si>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</si>
  <si>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</si>
  <si>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</si>
  <si>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</si>
  <si>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</si>
  <si>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</si>
  <si>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</si>
  <si>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</si>
  <si>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</si>
  <si>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</si>
  <si>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</si>
  <si>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</si>
  <si>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</si>
  <si>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</si>
  <si>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</si>
  <si>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</si>
  <si>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</si>
  <si>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</si>
  <si>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</si>
  <si>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</si>
  <si>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</si>
  <si>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</si>
  <si>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</si>
  <si>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</si>
  <si>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</si>
  <si>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</si>
  <si>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</si>
  <si>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</si>
  <si>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</si>
  <si>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</si>
  <si>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</si>
  <si>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</si>
  <si>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</si>
  <si>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</si>
  <si>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</si>
  <si>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</si>
  <si>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</si>
  <si>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</si>
  <si>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</si>
  <si>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</si>
  <si>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</si>
  <si>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</si>
  <si>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</si>
  <si>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</si>
  <si>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</si>
  <si>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</si>
  <si>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</si>
  <si>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</si>
  <si>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</si>
  <si>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</si>
  <si>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</si>
  <si>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</si>
  <si>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</si>
  <si>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</si>
  <si>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</si>
  <si>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</si>
  <si>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</si>
  <si>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</si>
  <si>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</si>
  <si>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</si>
  <si>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</si>
  <si>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</si>
  <si>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</si>
  <si>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</si>
  <si>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</si>
  <si>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</si>
  <si>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</si>
  <si>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</si>
  <si>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</si>
  <si>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</si>
  <si>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</si>
  <si>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</si>
  <si>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</si>
  <si>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</si>
  <si>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</si>
  <si>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</si>
  <si>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</si>
  <si>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</si>
  <si>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</si>
  <si>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</si>
  <si>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</si>
  <si>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</si>
  <si>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</si>
  <si>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</si>
  <si>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</si>
  <si>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R6:R315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</si>
  <si>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</si>
  <si>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</si>
  <si>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</si>
  <si>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</si>
  <si>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</si>
  <si>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</si>
  <si>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</si>
  <si>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CTL_ProdDerate 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</si>
  <si>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Theory_Rev!M73 × CTL_ProdDerate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</si>
  <si>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</si>
  <si>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</si>
  <si>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</si>
  <si>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</si>
  <si>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</si>
  <si>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</si>
  <si>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</si>
  <si>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</si>
  <si>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</si>
  <si>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</si>
  <si>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</si>
  <si>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</si>
  <si>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</si>
  <si>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</si>
  <si>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</si>
  <si>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</si>
  <si>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</si>
  <si>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</si>
  <si>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</si>
  <si>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</si>
  <si>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</si>
  <si>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r>
      <rPr>
        <sz val="9"/>
        <color rgb="FF595959"/>
        <rFont val="Arial"/>
        <family val="0"/>
        <charset val="1"/>
      </rPr>
      <t xml:space="preserve">Cap_In H9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AL_DPaid ÷ H7 </t>
    </r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點估計）；現值 </t>
    </r>
    <r>
      <rPr>
        <sz val="9"/>
        <color rgb="FF595959"/>
        <rFont val="Arial"/>
        <family val="0"/>
        <charset val="1"/>
      </rPr>
      <t xml:space="preserve">0.465 → </t>
    </r>
    <r>
      <rPr>
        <sz val="9"/>
        <color rgb="FF595959"/>
        <rFont val="Noto Sans CJK SC"/>
        <family val="2"/>
      </rPr>
      <t xml:space="preserve">觸發，屬預期（</t>
    </r>
    <r>
      <rPr>
        <sz val="9"/>
        <color rgb="FF595959"/>
        <rFont val="Arial"/>
        <family val="0"/>
        <charset val="1"/>
      </rPr>
      <t xml:space="preserve">v5.34 B3</t>
    </r>
    <r>
      <rPr>
        <sz val="9"/>
        <color rgb="FF595959"/>
        <rFont val="Noto Sans CJK SC"/>
        <family val="2"/>
      </rPr>
      <t xml:space="preserve">）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</si>
  <si>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</si>
  <si>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</si>
  <si>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</si>
  <si>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</si>
  <si>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</si>
  <si>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</si>
  <si>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</si>
  <si>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</si>
  <si>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</si>
  <si>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</si>
  <si>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</si>
  <si>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</si>
  <si>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</si>
  <si>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</si>
  <si>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</si>
  <si>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</si>
  <si>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</si>
  <si>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</si>
  <si>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</si>
  <si>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</si>
  <si>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</si>
  <si>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</si>
  <si>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</si>
  <si>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</si>
  <si>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</si>
  <si>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</si>
  <si>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</si>
  <si>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</si>
  <si>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</si>
  <si>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</si>
  <si>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</si>
  <si>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</si>
  <si>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</si>
  <si>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</si>
  <si>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</si>
  <si>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</si>
  <si>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</si>
  <si>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</si>
  <si>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</si>
  <si>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</si>
  <si>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</si>
  <si>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</si>
  <si>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</si>
  <si>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</si>
  <si>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</si>
  <si>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</si>
  <si>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</si>
  <si>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</si>
  <si>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</si>
  <si>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</si>
  <si>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</si>
  <si>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</si>
  <si>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</si>
  <si>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</si>
  <si>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</si>
  <si>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</si>
  <si>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</si>
  <si>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</si>
  <si>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</si>
  <si>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</si>
  <si>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</si>
  <si>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</si>
  <si>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</si>
  <si>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</si>
  <si>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</si>
  <si>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</si>
  <si>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</si>
  <si>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</si>
  <si>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</si>
  <si>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</si>
  <si>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</si>
  <si>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</si>
  <si>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</si>
  <si>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</si>
  <si>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</si>
  <si>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</si>
  <si>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</si>
  <si>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</si>
  <si>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</si>
  <si>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</si>
  <si>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</si>
  <si>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</si>
  <si>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</si>
  <si>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</si>
  <si>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</si>
  <si>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</si>
  <si>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</si>
  <si>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</si>
  <si>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</si>
  <si>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</si>
  <si>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</si>
  <si>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</si>
  <si>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</si>
  <si>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</si>
  <si>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</si>
  <si>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</si>
  <si>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</si>
  <si>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</si>
  <si>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</si>
  <si>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</si>
  <si>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</si>
  <si>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</si>
  <si>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</si>
  <si>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</si>
  <si>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</si>
  <si>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</si>
  <si>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</si>
  <si>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</si>
  <si>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</si>
  <si>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</si>
  <si>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</si>
  <si>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</si>
  <si>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</si>
  <si>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</si>
  <si>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</si>
  <si>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</si>
  <si>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</si>
  <si>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</si>
  <si>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</si>
  <si>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</si>
  <si>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</si>
  <si>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</si>
  <si>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</si>
  <si>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</si>
  <si>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</si>
  <si>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</si>
  <si>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</si>
  <si>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</si>
  <si>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</si>
  <si>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</si>
  <si>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</si>
  <si>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</si>
  <si>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</si>
  <si>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</si>
  <si>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</si>
  <si>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</si>
  <si>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</si>
  <si>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</si>
  <si>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</si>
  <si>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</si>
  <si>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</si>
  <si>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</si>
  <si>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</si>
  <si>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</si>
  <si>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</si>
  <si>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</si>
  <si>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</si>
  <si>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</si>
  <si>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</si>
  <si>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</si>
  <si>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</si>
  <si>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</si>
  <si>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</si>
  <si>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</si>
  <si>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</si>
  <si>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</si>
  <si>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</si>
  <si>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</si>
  <si>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</si>
  <si>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</si>
  <si>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</si>
  <si>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</si>
  <si>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</si>
  <si>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</si>
  <si>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</si>
  <si>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</si>
  <si>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</si>
  <si>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</si>
  <si>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</si>
  <si>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</si>
  <si>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</si>
  <si>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</si>
  <si>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</si>
  <si>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</si>
  <si>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</si>
  <si>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</si>
  <si>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</si>
  <si>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</si>
  <si>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</si>
  <si>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</si>
  <si>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</si>
  <si>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</si>
  <si>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</si>
  <si>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</si>
  <si>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</si>
  <si>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</si>
  <si>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</si>
  <si>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</si>
  <si>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</si>
  <si>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</si>
  <si>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</si>
  <si>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</si>
  <si>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</si>
  <si>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</si>
  <si>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</si>
  <si>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</si>
  <si>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</si>
  <si>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</si>
  <si>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</si>
  <si>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</si>
  <si>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</si>
  <si>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</si>
  <si>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</si>
  <si>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</si>
  <si>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</si>
  <si>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</si>
  <si>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</si>
  <si>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</si>
  <si>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</si>
  <si>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</si>
  <si>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</si>
  <si>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</si>
  <si>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</si>
  <si>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</si>
  <si>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</si>
  <si>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</si>
  <si>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</si>
  <si>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</si>
  <si>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</si>
  <si>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</si>
  <si>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</si>
  <si>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</si>
  <si>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</si>
  <si>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</si>
  <si>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</si>
  <si>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</si>
  <si>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</si>
  <si>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</si>
  <si>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</si>
  <si>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</si>
  <si>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</si>
  <si>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</si>
  <si>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</si>
  <si>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</si>
  <si>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</si>
  <si>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</si>
  <si>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</si>
  <si>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</si>
  <si>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</si>
  <si>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</si>
  <si>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</si>
  <si>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</si>
  <si>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</si>
  <si>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</si>
  <si>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</si>
  <si>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</si>
  <si>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</si>
  <si>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</si>
  <si>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</si>
  <si>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</si>
  <si>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</si>
  <si>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</si>
  <si>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</si>
  <si>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</si>
  <si>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</si>
  <si>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</si>
  <si>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</si>
  <si>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</si>
  <si>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</si>
  <si>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</si>
  <si>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</si>
  <si>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</si>
  <si>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</si>
  <si>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</si>
  <si>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</si>
  <si>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</si>
  <si>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</si>
  <si>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</si>
  <si>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</si>
  <si>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</si>
  <si>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</si>
  <si>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</si>
  <si>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</si>
  <si>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</si>
  <si>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</si>
  <si>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</si>
  <si>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</si>
  <si>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</si>
  <si>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</si>
  <si>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</si>
  <si>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</si>
  <si>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</si>
  <si>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</si>
  <si>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</si>
  <si>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</si>
  <si>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</si>
  <si>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</si>
  <si>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</si>
  <si>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</si>
  <si>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</si>
  <si>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</si>
  <si>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</si>
  <si>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</si>
  <si>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</si>
  <si>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</si>
  <si>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</si>
  <si>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</si>
  <si>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</si>
  <si>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</si>
  <si>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</si>
  <si>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</si>
  <si>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</si>
  <si>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</si>
  <si>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</si>
  <si>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</si>
  <si>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</si>
  <si>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</si>
  <si>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</si>
  <si>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</si>
  <si>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</si>
  <si>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</si>
  <si>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</si>
  <si>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</si>
  <si>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</si>
  <si>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</si>
  <si>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</si>
  <si>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</si>
  <si>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</si>
  <si>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</si>
  <si>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</si>
  <si>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</si>
  <si>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</si>
  <si>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</si>
  <si>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</si>
  <si>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</si>
  <si>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</si>
  <si>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</si>
  <si>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</si>
  <si>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</si>
  <si>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</si>
  <si>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</si>
  <si>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</si>
  <si>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</si>
  <si>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</si>
  <si>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</si>
  <si>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</si>
  <si>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</si>
  <si>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</si>
  <si>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</si>
  <si>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</si>
  <si>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</si>
  <si>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</si>
  <si>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</si>
  <si>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</si>
  <si>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</si>
  <si>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</si>
  <si>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</si>
  <si>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</si>
  <si>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</si>
  <si>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</si>
  <si>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</si>
  <si>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</si>
  <si>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</si>
  <si>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</si>
  <si>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</si>
  <si>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</si>
  <si>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</si>
  <si>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</si>
  <si>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</si>
  <si>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</si>
  <si>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</si>
  <si>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</si>
  <si>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</si>
  <si>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</si>
  <si>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</si>
  <si>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</si>
  <si>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</si>
  <si>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</si>
  <si>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</si>
  <si>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</si>
  <si>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</si>
  <si>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</si>
  <si>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</si>
  <si>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</si>
  <si>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</si>
  <si>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</si>
  <si>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</si>
  <si>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</si>
  <si>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</si>
  <si>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</si>
  <si>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</si>
  <si>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</si>
  <si>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</si>
  <si>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</si>
  <si>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</si>
  <si>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</si>
  <si>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</si>
  <si>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</si>
  <si>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</si>
  <si>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</si>
  <si>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</si>
  <si>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</si>
  <si>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</si>
  <si>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</si>
  <si>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</si>
  <si>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</si>
  <si>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</si>
  <si>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</si>
  <si>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</si>
  <si>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</si>
  <si>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</si>
  <si>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</si>
  <si>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</si>
  <si>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</si>
  <si>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</si>
  <si>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</si>
  <si>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</si>
  <si>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</si>
  <si>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</si>
  <si>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</si>
  <si>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</si>
  <si>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</si>
  <si>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</si>
  <si>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</si>
  <si>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</si>
  <si>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</si>
  <si>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</si>
  <si>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</si>
  <si>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</si>
  <si>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</si>
  <si>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</si>
  <si>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</si>
  <si>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</si>
  <si>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</si>
  <si>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</si>
  <si>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</si>
  <si>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</si>
  <si>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</si>
  <si>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</si>
  <si>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</si>
  <si>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</si>
  <si>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</si>
  <si>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</si>
  <si>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</si>
  <si>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</si>
  <si>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</si>
  <si>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</si>
  <si>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</si>
  <si>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</si>
  <si>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</si>
  <si>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</si>
  <si>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</si>
  <si>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</si>
  <si>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</si>
  <si>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</si>
  <si>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</si>
  <si>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</si>
  <si>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</si>
  <si>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</si>
  <si>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</si>
  <si>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</si>
  <si>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</si>
  <si>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</si>
  <si>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</si>
  <si>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</si>
  <si>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</si>
  <si>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</si>
  <si>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</si>
  <si>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</si>
  <si>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</si>
  <si>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</si>
  <si>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</si>
  <si>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</si>
  <si>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</si>
  <si>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</si>
  <si>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</si>
  <si>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</si>
  <si>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</si>
  <si>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</si>
  <si>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</si>
  <si>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</si>
  <si>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</si>
  <si>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</si>
  <si>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</si>
  <si>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</si>
  <si>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</si>
  <si>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</si>
  <si>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</si>
  <si>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</si>
  <si>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</si>
  <si>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</si>
  <si>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</si>
  <si>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</si>
  <si>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</si>
  <si>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</si>
  <si>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</si>
  <si>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</si>
  <si>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</si>
  <si>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</si>
  <si>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</si>
  <si>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</si>
  <si>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</si>
  <si>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</si>
  <si>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</si>
  <si>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</si>
  <si>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</si>
  <si>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</si>
  <si>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</si>
  <si>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</si>
  <si>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</si>
  <si>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</si>
  <si>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</si>
  <si>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</si>
  <si>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</si>
  <si>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</si>
  <si>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</si>
  <si>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</si>
  <si>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</si>
  <si>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</si>
  <si>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</si>
  <si>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</si>
  <si>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</si>
  <si>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</si>
  <si>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</si>
  <si>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</si>
  <si>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</si>
  <si>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</si>
  <si>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</si>
  <si>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</si>
  <si>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</si>
  <si>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</si>
  <si>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</si>
  <si>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</si>
  <si>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</si>
  <si>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</si>
  <si>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</si>
  <si>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</si>
  <si>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</si>
  <si>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</si>
  <si>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</si>
  <si>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</si>
  <si>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</si>
  <si>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</si>
  <si>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</si>
  <si>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</si>
  <si>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</si>
  <si>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</si>
  <si>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</si>
  <si>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</si>
  <si>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</si>
  <si>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</si>
  <si>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</si>
  <si>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</si>
  <si>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</si>
  <si>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</si>
  <si>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</si>
  <si>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</si>
  <si>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</si>
  <si>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</si>
  <si>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</si>
  <si>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</si>
  <si>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</si>
  <si>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</si>
  <si>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</si>
  <si>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</si>
  <si>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</si>
  <si>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</si>
  <si>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</si>
  <si>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</si>
  <si>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</si>
  <si>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</si>
  <si>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</si>
  <si>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</si>
  <si>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</si>
  <si>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</si>
  <si>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</si>
  <si>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</si>
  <si>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</si>
  <si>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</si>
  <si>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</si>
  <si>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</si>
  <si>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</si>
  <si>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</si>
  <si>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</si>
  <si>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</si>
  <si>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</si>
  <si>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</si>
  <si>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</si>
  <si>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</si>
  <si>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</si>
  <si>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</si>
  <si>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</si>
  <si>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</si>
  <si>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</si>
  <si>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</si>
  <si>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</si>
  <si>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</si>
  <si>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</si>
  <si>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</si>
  <si>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</si>
  <si>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</si>
  <si>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</si>
  <si>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</si>
  <si>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</si>
  <si>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</si>
  <si>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</si>
  <si>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</si>
  <si>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</si>
  <si>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</si>
  <si>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</si>
  <si>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</si>
  <si>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</si>
  <si>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</si>
  <si>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</si>
  <si>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</si>
  <si>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</si>
  <si>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</si>
  <si>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</si>
  <si>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</si>
  <si>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</si>
  <si>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</si>
  <si>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</si>
  <si>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</si>
  <si>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</si>
  <si>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</si>
  <si>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</si>
  <si>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</si>
  <si>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</si>
  <si>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</si>
  <si>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</si>
  <si>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</si>
  <si>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</si>
  <si>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</si>
  <si>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</si>
  <si>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</si>
  <si>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</si>
  <si>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</si>
  <si>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</si>
  <si>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</si>
  <si>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</si>
  <si>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</si>
  <si>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</si>
  <si>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</si>
  <si>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</si>
  <si>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</si>
  <si>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</si>
  <si>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</si>
  <si>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</si>
  <si>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</si>
  <si>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</si>
  <si>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</si>
  <si>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</si>
  <si>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</si>
  <si>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</si>
  <si>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</si>
  <si>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</si>
  <si>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</si>
  <si>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</si>
  <si>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</si>
  <si>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</si>
  <si>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</si>
  <si>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</si>
  <si>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</si>
  <si>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</si>
  <si>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</si>
  <si>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</si>
  <si>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</si>
  <si>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</si>
  <si>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</si>
  <si>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</si>
  <si>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</si>
  <si>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</si>
  <si>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</si>
  <si>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</si>
  <si>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</si>
  <si>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</si>
  <si>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</si>
  <si>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</si>
  <si>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</si>
  <si>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</si>
  <si>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</si>
  <si>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</si>
  <si>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</si>
  <si>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</si>
  <si>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</si>
  <si>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</si>
  <si>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</si>
  <si>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</si>
  <si>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</si>
  <si>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</si>
  <si>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</si>
  <si>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</si>
  <si>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</si>
  <si>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</si>
  <si>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</si>
  <si>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</si>
  <si>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</si>
  <si>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</si>
  <si>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</si>
  <si>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</si>
  <si>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</si>
  <si>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</si>
  <si>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</si>
  <si>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</si>
  <si>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</si>
  <si>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</si>
  <si>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</si>
  <si>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</si>
  <si>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</si>
  <si>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</si>
  <si>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</si>
  <si>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</si>
  <si>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</si>
  <si>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</si>
  <si>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</si>
  <si>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</si>
  <si>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</si>
  <si>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</si>
  <si>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</si>
  <si>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</si>
  <si>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</si>
  <si>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</si>
  <si>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</si>
  <si>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</si>
  <si>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</si>
  <si>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</si>
  <si>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</si>
  <si>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</si>
  <si>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</si>
  <si>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</si>
  <si>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</si>
  <si>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</si>
  <si>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</si>
  <si>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</si>
  <si>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</si>
  <si>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</si>
  <si>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</si>
  <si>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</si>
  <si>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</si>
  <si>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</si>
  <si>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</si>
  <si>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</si>
  <si>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</si>
  <si>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</si>
  <si>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</si>
  <si>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</si>
  <si>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</si>
  <si>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</si>
  <si>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</si>
  <si>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</si>
  <si>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</si>
  <si>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</si>
  <si>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</si>
  <si>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</si>
  <si>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</si>
  <si>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</si>
  <si>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</si>
  <si>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</si>
  <si>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</si>
  <si>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</si>
  <si>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</si>
  <si>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</si>
  <si>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</si>
  <si>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</si>
  <si>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</si>
  <si>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</si>
  <si>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</si>
  <si>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</si>
  <si>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</si>
  <si>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</si>
  <si>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</si>
  <si>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</si>
  <si>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</si>
  <si>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</si>
  <si>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</si>
  <si>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</si>
  <si>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</si>
  <si>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</si>
  <si>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</si>
  <si>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</si>
  <si>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</si>
  <si>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</si>
  <si>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</si>
  <si>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</si>
  <si>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</si>
  <si>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</si>
  <si>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</si>
  <si>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</si>
  <si>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</si>
  <si>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</si>
  <si>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</si>
  <si>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</si>
  <si>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</si>
  <si>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</si>
  <si>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</si>
  <si>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</si>
  <si>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</si>
  <si>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</si>
  <si>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</si>
  <si>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</si>
  <si>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</si>
  <si>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</si>
  <si>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</si>
  <si>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</si>
  <si>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</si>
  <si>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</si>
  <si>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</si>
  <si>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</si>
  <si>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</si>
  <si>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</si>
  <si>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</si>
  <si>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</si>
  <si>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</si>
  <si>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</si>
  <si>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</si>
  <si>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</si>
  <si>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</si>
  <si>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</si>
  <si>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</si>
  <si>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</si>
  <si>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</si>
  <si>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</si>
  <si>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</si>
  <si>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</si>
  <si>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</si>
  <si>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</si>
  <si>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</si>
  <si>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</si>
  <si>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</si>
  <si>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</si>
  <si>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</si>
  <si>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</si>
  <si>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</si>
  <si>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</si>
  <si>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</si>
  <si>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</si>
  <si>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</si>
  <si>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</si>
  <si>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</si>
  <si>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</si>
  <si>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</si>
  <si>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</si>
  <si>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</si>
  <si>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</si>
  <si>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</si>
  <si>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</si>
  <si>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</si>
  <si>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</si>
  <si>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</si>
  <si>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</si>
  <si>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</si>
  <si>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</si>
  <si>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</si>
  <si>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</si>
  <si>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</si>
  <si>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</si>
  <si>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</si>
  <si>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</si>
  <si>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</si>
  <si>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</si>
  <si>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</si>
  <si>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</si>
  <si>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</si>
  <si>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</si>
  <si>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</si>
  <si>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</si>
  <si>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</si>
  <si>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</si>
  <si>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</si>
  <si>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</si>
  <si>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</si>
  <si>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</si>
  <si>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</si>
  <si>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</si>
  <si>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</si>
  <si>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</si>
  <si>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</si>
  <si>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</si>
  <si>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</si>
  <si>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</si>
  <si>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</si>
  <si>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</si>
  <si>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</si>
  <si>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</si>
  <si>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</si>
  <si>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</si>
  <si>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</si>
  <si>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</si>
  <si>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</si>
  <si>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</si>
  <si>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</si>
  <si>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</si>
  <si>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</si>
  <si>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</si>
  <si>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</si>
  <si>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</si>
  <si>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</si>
  <si>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</si>
  <si>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</si>
  <si>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</si>
  <si>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</si>
  <si>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</si>
  <si>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</si>
  <si>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</si>
  <si>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</si>
  <si>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</si>
  <si>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</si>
  <si>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</si>
  <si>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</si>
  <si>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</si>
  <si>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</si>
  <si>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</si>
  <si>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</si>
  <si>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</si>
  <si>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</si>
  <si>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</si>
  <si>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</si>
  <si>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</si>
  <si>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</si>
  <si>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</si>
  <si>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</si>
  <si>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</si>
  <si>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</si>
  <si>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</si>
  <si>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</si>
  <si>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</si>
  <si>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</si>
  <si>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</si>
  <si>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</si>
  <si>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</si>
  <si>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</si>
  <si>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</si>
  <si>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</si>
  <si>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</si>
  <si>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</si>
  <si>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</si>
  <si>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</si>
  <si>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</si>
  <si>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</si>
  <si>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</si>
  <si>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</si>
  <si>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</si>
  <si>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</si>
  <si>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</si>
  <si>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</si>
  <si>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</si>
  <si>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</si>
  <si>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</si>
  <si>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</si>
  <si>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</si>
  <si>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</si>
  <si>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</si>
  <si>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</si>
  <si>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</si>
  <si>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</si>
  <si>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</si>
  <si>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</si>
  <si>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</si>
  <si>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</si>
  <si>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</si>
  <si>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</si>
  <si>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</si>
  <si>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</si>
  <si>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</si>
  <si>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</si>
  <si>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</si>
  <si>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</si>
  <si>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</si>
  <si>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</si>
  <si>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</si>
  <si>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</si>
  <si>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</si>
  <si>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</si>
  <si>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</si>
  <si>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</si>
  <si>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</si>
  <si>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</si>
  <si>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</si>
  <si>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</si>
  <si>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</si>
  <si>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</si>
  <si>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</si>
  <si>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</si>
  <si>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</si>
  <si>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</si>
  <si>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</si>
  <si>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</si>
  <si>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</si>
  <si>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</si>
  <si>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</si>
  <si>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</si>
  <si>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</si>
  <si>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</si>
  <si>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</si>
  <si>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</si>
  <si>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</si>
  <si>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</si>
  <si>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</si>
  <si>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</si>
  <si>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</si>
  <si>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</si>
  <si>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</si>
  <si>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</si>
  <si>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</si>
  <si>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</si>
  <si>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</si>
  <si>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</si>
  <si>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</si>
  <si>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</si>
  <si>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</si>
  <si>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</si>
  <si>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</si>
  <si>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</si>
  <si>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</si>
  <si>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</si>
  <si>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</si>
  <si>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</si>
  <si>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</si>
  <si>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</si>
  <si>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</si>
  <si>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</si>
  <si>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</si>
  <si>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</si>
  <si>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</si>
  <si>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</si>
  <si>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</si>
  <si>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</si>
  <si>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</si>
  <si>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</si>
  <si>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</si>
  <si>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</si>
  <si>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</si>
  <si>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</si>
  <si>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</si>
  <si>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</si>
  <si>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</si>
  <si>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</si>
  <si>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</si>
  <si>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</si>
  <si>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</si>
  <si>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</si>
  <si>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</si>
  <si>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</si>
  <si>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</si>
  <si>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</si>
  <si>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</si>
  <si>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</si>
  <si>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</si>
  <si>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</si>
  <si>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</si>
  <si>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</si>
  <si>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</si>
  <si>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</si>
  <si>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</si>
  <si>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</si>
  <si>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</si>
  <si>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</si>
  <si>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</si>
  <si>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</si>
  <si>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</si>
  <si>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</si>
  <si>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</si>
  <si>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</si>
  <si>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</si>
  <si>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</si>
  <si>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</si>
  <si>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</si>
  <si>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</si>
  <si>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</si>
  <si>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</si>
  <si>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</si>
  <si>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</si>
  <si>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</si>
  <si>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</si>
  <si>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</si>
  <si>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</si>
  <si>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</si>
  <si>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</si>
  <si>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</si>
  <si>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</si>
  <si>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</si>
  <si>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</si>
  <si>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</si>
  <si>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</si>
  <si>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</si>
  <si>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</si>
  <si>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</si>
  <si>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</si>
  <si>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</si>
  <si>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</si>
  <si>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</si>
  <si>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</si>
  <si>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</si>
  <si>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</si>
  <si>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</si>
  <si>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</si>
  <si>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</si>
  <si>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</si>
  <si>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</si>
  <si>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</si>
  <si>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</si>
  <si>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</si>
  <si>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</si>
  <si>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</si>
  <si>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</si>
  <si>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</si>
  <si>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</si>
  <si>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</si>
  <si>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</si>
  <si>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</si>
  <si>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</si>
  <si>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</si>
  <si>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</si>
  <si>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</si>
  <si>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</si>
  <si>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</si>
  <si>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</si>
  <si>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</si>
  <si>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</si>
  <si>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</si>
  <si>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</si>
  <si>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</si>
  <si>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</si>
  <si>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</si>
  <si>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</si>
  <si>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</si>
  <si>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</si>
  <si>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</si>
  <si>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</si>
  <si>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</si>
  <si>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</si>
  <si>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</si>
  <si>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</si>
  <si>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</si>
  <si>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</si>
  <si>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</si>
  <si>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</si>
  <si>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</si>
  <si>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</si>
  <si>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</si>
  <si>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</si>
  <si>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</si>
  <si>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</si>
  <si>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</si>
  <si>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</si>
  <si>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</si>
  <si>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</si>
  <si>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</si>
  <si>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</si>
  <si>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</si>
  <si>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</si>
  <si>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</si>
  <si>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</si>
  <si>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</si>
  <si>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</si>
  <si>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</si>
  <si>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</si>
  <si>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</si>
  <si>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</si>
  <si>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</si>
  <si>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</si>
  <si>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</si>
  <si>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</si>
  <si>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</si>
  <si>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</si>
  <si>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</si>
  <si>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</si>
  <si>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</si>
  <si>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</si>
  <si>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</si>
  <si>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</si>
  <si>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</si>
  <si>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</si>
  <si>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</si>
  <si>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</si>
  <si>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</si>
  <si>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</si>
  <si>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</si>
  <si>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</si>
  <si>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</si>
  <si>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</si>
  <si>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</si>
  <si>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</si>
  <si>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</si>
  <si>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</si>
  <si>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</si>
  <si>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</si>
  <si>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</si>
  <si>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</si>
  <si>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</si>
  <si>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</si>
  <si>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</si>
  <si>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</si>
  <si>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</si>
  <si>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</si>
  <si>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</si>
  <si>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</si>
  <si>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</si>
  <si>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</si>
  <si>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</si>
  <si>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</si>
  <si>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</si>
  <si>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</si>
  <si>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</si>
  <si>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</si>
  <si>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</si>
  <si>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</si>
  <si>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</si>
  <si>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</si>
  <si>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</si>
  <si>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</si>
  <si>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</si>
  <si>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</si>
  <si>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</si>
  <si>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</si>
  <si>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</si>
  <si>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</si>
  <si>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</si>
  <si>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</si>
  <si>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</si>
  <si>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</si>
  <si>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</si>
  <si>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</si>
  <si>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</si>
  <si>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</si>
  <si>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</si>
  <si>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</si>
  <si>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</si>
  <si>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</si>
  <si>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</si>
  <si>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</si>
  <si>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</si>
  <si>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</si>
  <si>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</si>
  <si>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</si>
  <si>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</si>
  <si>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</si>
  <si>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</si>
  <si>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</si>
  <si>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</si>
  <si>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</si>
  <si>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</si>
  <si>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</si>
  <si>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</si>
  <si>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</si>
  <si>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</si>
  <si>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</si>
  <si>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</si>
  <si>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</si>
  <si>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</si>
  <si>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</si>
  <si>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</si>
  <si>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</si>
  <si>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</si>
  <si>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</si>
  <si>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</si>
  <si>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</si>
  <si>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</si>
  <si>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</si>
  <si>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</si>
  <si>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</si>
  <si>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</si>
  <si>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</si>
  <si>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</si>
  <si>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</si>
  <si>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</si>
  <si>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</si>
  <si>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</si>
  <si>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</si>
  <si>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</si>
  <si>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</si>
  <si>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</si>
  <si>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</si>
  <si>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</si>
  <si>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</si>
  <si>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</si>
  <si>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</si>
  <si>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</si>
  <si>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</si>
  <si>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</si>
  <si>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</si>
  <si>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</si>
  <si>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</si>
  <si>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</si>
  <si>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</si>
  <si>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</si>
  <si>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</si>
  <si>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</si>
  <si>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</si>
  <si>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</si>
  <si>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</si>
  <si>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</si>
  <si>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</si>
  <si>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</si>
  <si>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</si>
  <si>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</si>
  <si>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</si>
  <si>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</si>
  <si>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</si>
  <si>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</si>
  <si>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</si>
  <si>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</si>
  <si>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</si>
  <si>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</si>
  <si>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</si>
  <si>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</si>
  <si>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</si>
  <si>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</si>
  <si>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</si>
  <si>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</si>
  <si>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</si>
  <si>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</si>
  <si>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</si>
  <si>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</si>
  <si>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</si>
  <si>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</si>
  <si>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</si>
  <si>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</si>
  <si>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</si>
  <si>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</si>
  <si>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</si>
  <si>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</si>
  <si>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</si>
  <si>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</si>
  <si>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</si>
  <si>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</si>
  <si>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</si>
  <si>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</si>
  <si>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</si>
  <si>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</si>
  <si>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</si>
  <si>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</si>
  <si>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</si>
  <si>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</si>
  <si>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</si>
  <si>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</si>
  <si>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</si>
  <si>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</si>
  <si>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</si>
  <si>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</si>
  <si>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</si>
  <si>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</si>
  <si>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</si>
  <si>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</si>
  <si>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</si>
  <si>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</si>
  <si>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</si>
  <si>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</si>
  <si>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</si>
  <si>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</si>
  <si>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</si>
  <si>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</si>
  <si>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</si>
  <si>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</si>
  <si>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</si>
  <si>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</si>
  <si>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</si>
  <si>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</si>
  <si>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</si>
  <si>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</si>
  <si>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</si>
  <si>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</si>
  <si>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</si>
  <si>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</si>
  <si>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</si>
  <si>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</si>
  <si>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</si>
  <si>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</si>
  <si>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</si>
  <si>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</si>
  <si>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</si>
  <si>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</si>
  <si>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</si>
  <si>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</si>
  <si>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</si>
  <si>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</si>
  <si>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</si>
  <si>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</si>
  <si>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</si>
  <si>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</si>
  <si>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</si>
  <si>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</si>
  <si>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</si>
  <si>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</si>
  <si>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</si>
  <si>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</si>
  <si>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</si>
  <si>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</si>
  <si>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</si>
  <si>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</si>
  <si>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</si>
  <si>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</si>
  <si>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</si>
  <si>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</si>
  <si>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</si>
  <si>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</si>
  <si>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</si>
  <si>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</si>
  <si>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</si>
  <si>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</si>
  <si>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</si>
  <si>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</si>
  <si>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</si>
  <si>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</si>
  <si>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</si>
  <si>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</si>
  <si>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</si>
  <si>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</si>
  <si>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</si>
  <si>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</si>
  <si>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</si>
  <si>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</si>
  <si>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</si>
  <si>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</si>
  <si>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</si>
  <si>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</si>
  <si>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</si>
  <si>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</si>
  <si>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</si>
  <si>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</si>
  <si>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</si>
  <si>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</si>
  <si>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</si>
  <si>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</si>
  <si>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</si>
  <si>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</si>
  <si>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</si>
  <si>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</si>
  <si>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</si>
  <si>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</si>
  <si>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</si>
  <si>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</si>
  <si>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</si>
  <si>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</si>
  <si>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</si>
  <si>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</si>
  <si>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</si>
  <si>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</si>
  <si>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</si>
  <si>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</si>
  <si>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</si>
  <si>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</si>
  <si>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</si>
  <si>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</si>
  <si>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</si>
  <si>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</si>
  <si>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</si>
  <si>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</si>
  <si>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</si>
  <si>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</si>
  <si>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</si>
  <si>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</si>
  <si>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</si>
  <si>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</si>
  <si>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</si>
  <si>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</si>
  <si>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</si>
  <si>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</si>
  <si>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</si>
  <si>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</si>
  <si>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</si>
  <si>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</si>
  <si>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</si>
  <si>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</si>
  <si>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</si>
  <si>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</si>
  <si>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</si>
  <si>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</si>
  <si>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</si>
  <si>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</si>
  <si>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</si>
  <si>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</si>
  <si>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</si>
  <si>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</si>
  <si>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</si>
  <si>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</si>
  <si>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</si>
  <si>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</si>
  <si>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</si>
  <si>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</si>
  <si>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</si>
  <si>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</si>
  <si>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</si>
  <si>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</si>
  <si>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</si>
  <si>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</si>
  <si>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</si>
  <si>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</si>
  <si>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</si>
  <si>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</si>
  <si>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</si>
  <si>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</si>
  <si>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</si>
  <si>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</si>
  <si>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</si>
  <si>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</si>
  <si>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</si>
  <si>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</si>
  <si>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</si>
  <si>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</si>
  <si>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</si>
  <si>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</si>
  <si>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</si>
  <si>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</si>
  <si>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</si>
  <si>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</si>
  <si>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</si>
  <si>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</si>
  <si>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</si>
  <si>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</si>
  <si>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</si>
  <si>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</si>
  <si>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</si>
  <si>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</si>
  <si>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</si>
  <si>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</si>
  <si>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</si>
  <si>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</si>
  <si>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</si>
  <si>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</si>
  <si>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</si>
  <si>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</si>
  <si>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</si>
  <si>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</si>
  <si>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</si>
  <si>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</si>
  <si>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</si>
  <si>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</si>
  <si>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</si>
  <si>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</si>
  <si>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</si>
  <si>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</si>
  <si>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</si>
  <si>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</si>
  <si>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</si>
  <si>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</si>
  <si>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</si>
  <si>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</si>
  <si>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</si>
  <si>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</si>
  <si>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</si>
  <si>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</si>
  <si>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</si>
  <si>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</si>
  <si>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</si>
  <si>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</si>
  <si>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</si>
  <si>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</si>
  <si>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</si>
  <si>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</si>
  <si>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</si>
  <si>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</si>
  <si>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</si>
  <si>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</si>
  <si>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</si>
  <si>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</si>
  <si>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</si>
  <si>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</si>
  <si>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</si>
  <si>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</si>
  <si>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</si>
  <si>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</si>
  <si>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</si>
  <si>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</si>
  <si>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</si>
  <si>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</si>
  <si>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</si>
  <si>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</si>
  <si>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</si>
  <si>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</si>
  <si>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</si>
  <si>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</si>
  <si>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</si>
  <si>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</si>
  <si>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</si>
  <si>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</si>
  <si>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</si>
  <si>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</si>
  <si>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</si>
  <si>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</si>
  <si>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</si>
  <si>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</si>
  <si>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</si>
  <si>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</si>
  <si>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</si>
  <si>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</si>
  <si>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</si>
  <si>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</si>
  <si>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</si>
  <si>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</si>
  <si>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</si>
  <si>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</si>
  <si>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</si>
  <si>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</si>
  <si>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</si>
  <si>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</si>
  <si>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</si>
  <si>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</si>
  <si>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</si>
  <si>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</si>
  <si>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</si>
  <si>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</si>
  <si>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</si>
  <si>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</si>
  <si>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</si>
  <si>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</si>
  <si>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</si>
  <si>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</si>
  <si>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</si>
  <si>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</si>
  <si>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</si>
  <si>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</si>
  <si>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</si>
  <si>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</si>
  <si>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</si>
  <si>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</si>
  <si>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</si>
  <si>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</si>
  <si>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</si>
  <si>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</si>
  <si>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</si>
  <si>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</si>
  <si>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</si>
  <si>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</si>
  <si>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</si>
  <si>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</si>
  <si>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</si>
  <si>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</si>
  <si>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</si>
  <si>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</si>
  <si>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</si>
  <si>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</si>
  <si>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</si>
  <si>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</si>
  <si>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</si>
  <si>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</si>
  <si>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</si>
  <si>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</si>
  <si>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</si>
  <si>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</si>
  <si>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</si>
  <si>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</si>
  <si>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</si>
  <si>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</si>
  <si>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</si>
  <si>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</si>
  <si>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</si>
  <si>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</si>
  <si>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</si>
  <si>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</si>
  <si>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</si>
  <si>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</si>
  <si>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</si>
  <si>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</si>
  <si>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</si>
  <si>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</si>
  <si>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</si>
  <si>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</si>
  <si>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</si>
  <si>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</si>
  <si>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</si>
  <si>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</si>
  <si>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</si>
  <si>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</si>
  <si>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</si>
  <si>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</si>
  <si>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</si>
  <si>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</si>
  <si>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</si>
  <si>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</si>
  <si>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</si>
  <si>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</si>
  <si>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</si>
  <si>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</si>
  <si>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</si>
  <si>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</si>
  <si>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</si>
  <si>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</si>
  <si>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</si>
  <si>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</si>
  <si>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</si>
  <si>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</si>
  <si>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</si>
  <si>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</si>
  <si>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</si>
  <si>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</si>
  <si>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</si>
  <si>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</si>
  <si>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</si>
  <si>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</si>
  <si>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</si>
  <si>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</si>
  <si>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</si>
  <si>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</si>
  <si>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</si>
  <si>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</si>
  <si>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</si>
  <si>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</si>
  <si>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</si>
  <si>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</si>
  <si>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</si>
  <si>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</si>
  <si>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</si>
  <si>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</si>
  <si>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</si>
  <si>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</si>
  <si>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</si>
  <si>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</si>
  <si>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</si>
  <si>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</si>
  <si>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</si>
  <si>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</si>
  <si>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</si>
  <si>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</si>
  <si>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</si>
  <si>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</si>
  <si>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</si>
  <si>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</si>
  <si>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</si>
  <si>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</si>
  <si>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</si>
  <si>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</si>
  <si>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</si>
  <si>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</si>
  <si>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</si>
  <si>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</si>
  <si>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</si>
  <si>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</si>
  <si>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</si>
  <si>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</si>
  <si>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</si>
  <si>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</si>
  <si>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</si>
  <si>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</si>
  <si>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</si>
  <si>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</si>
  <si>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</si>
  <si>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</si>
  <si>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</si>
  <si>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</si>
  <si>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</si>
  <si>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</si>
  <si>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</si>
  <si>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</si>
  <si>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</si>
  <si>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</si>
  <si>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</si>
  <si>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</si>
  <si>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</si>
  <si>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</si>
  <si>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</si>
  <si>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</si>
  <si>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</si>
  <si>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</si>
  <si>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</si>
  <si>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</si>
  <si>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</si>
  <si>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</si>
  <si>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</si>
  <si>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</si>
  <si>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</si>
  <si>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</si>
  <si>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</si>
  <si>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</si>
  <si>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</si>
  <si>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</si>
  <si>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</si>
  <si>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</si>
  <si>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</si>
  <si>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</si>
  <si>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</si>
  <si>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</si>
  <si>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</si>
  <si>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</si>
  <si>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</si>
  <si>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</si>
  <si>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</si>
  <si>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</si>
  <si>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</si>
  <si>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</si>
  <si>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</si>
  <si>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</si>
  <si>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</si>
  <si>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</si>
  <si>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</si>
  <si>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</si>
  <si>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</si>
  <si>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</si>
  <si>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</si>
  <si>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</si>
  <si>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</si>
  <si>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</si>
  <si>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</si>
  <si>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</si>
  <si>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</si>
  <si>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</si>
  <si>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</si>
  <si>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</si>
  <si>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</si>
  <si>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</si>
  <si>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</si>
  <si>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</si>
  <si>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</si>
  <si>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</si>
  <si>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</si>
  <si>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</si>
  <si>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</si>
  <si>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</si>
  <si>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</si>
  <si>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</si>
  <si>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</si>
  <si>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</si>
  <si>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</si>
  <si>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</si>
  <si>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</si>
  <si>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</si>
  <si>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</si>
  <si>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</si>
  <si>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</si>
  <si>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</si>
  <si>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</si>
  <si>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</si>
  <si>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</si>
  <si>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</si>
  <si>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</si>
  <si>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</si>
  <si>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</si>
  <si>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</si>
  <si>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</si>
  <si>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</si>
  <si>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</si>
  <si>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</si>
  <si>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</si>
  <si>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</si>
  <si>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</si>
  <si>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</si>
  <si>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</si>
  <si>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</si>
  <si>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</si>
  <si>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</si>
  <si>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</si>
  <si>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</si>
  <si>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</si>
  <si>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</si>
  <si>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</si>
  <si>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</si>
  <si>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</si>
  <si>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</si>
  <si>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</si>
  <si>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</si>
  <si>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</si>
  <si>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</si>
  <si>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</si>
  <si>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</si>
  <si>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</si>
  <si>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</si>
  <si>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</si>
  <si>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</si>
  <si>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</si>
  <si>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</si>
  <si>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</si>
  <si>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</si>
  <si>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</si>
  <si>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</si>
  <si>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</si>
  <si>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</si>
  <si>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</si>
  <si>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</si>
  <si>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</si>
  <si>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</si>
  <si>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</si>
  <si>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</si>
  <si>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</si>
  <si>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</si>
  <si>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</si>
  <si>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</si>
  <si>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</si>
  <si>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</si>
  <si>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</si>
  <si>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</si>
  <si>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</si>
  <si>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</si>
  <si>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</si>
  <si>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</si>
  <si>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</si>
  <si>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</si>
  <si>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</si>
  <si>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</si>
  <si>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</si>
  <si>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</si>
  <si>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</si>
  <si>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</si>
  <si>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</si>
  <si>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</si>
  <si>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</si>
  <si>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</si>
  <si>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</si>
  <si>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</si>
  <si>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</si>
  <si>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</si>
  <si>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</si>
  <si>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</si>
  <si>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</si>
  <si>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</si>
  <si>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</si>
  <si>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</si>
  <si>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</si>
  <si>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</si>
  <si>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</si>
  <si>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</si>
  <si>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</si>
  <si>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</si>
  <si>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</si>
  <si>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</si>
  <si>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</si>
  <si>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</si>
  <si>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</si>
  <si>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</si>
  <si>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</si>
  <si>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</si>
  <si>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</si>
  <si>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</si>
  <si>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</si>
  <si>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</si>
  <si>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</si>
  <si>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</si>
  <si>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</si>
  <si>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</si>
  <si>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</si>
  <si>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</si>
  <si>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</si>
  <si>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</si>
  <si>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</si>
  <si>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</si>
  <si>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</si>
  <si>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</si>
  <si>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</si>
  <si>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</si>
  <si>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</si>
  <si>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</si>
  <si>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</si>
  <si>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</si>
  <si>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</si>
  <si>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</si>
  <si>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</si>
  <si>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</si>
  <si>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</si>
  <si>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</si>
  <si>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</si>
  <si>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</si>
  <si>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</si>
  <si>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</si>
  <si>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</si>
  <si>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</si>
  <si>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</si>
  <si>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</si>
  <si>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</si>
  <si>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</si>
  <si>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</si>
  <si>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</si>
  <si>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</si>
  <si>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</si>
  <si>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</si>
  <si>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</si>
  <si>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</si>
  <si>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</si>
  <si>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</si>
  <si>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</si>
  <si>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</si>
  <si>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</si>
  <si>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</si>
  <si>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</si>
  <si>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</si>
  <si>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</si>
  <si>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</si>
  <si>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</si>
  <si>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</si>
  <si>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</si>
  <si>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</si>
  <si>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</si>
  <si>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</si>
  <si>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</si>
  <si>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</si>
  <si>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</si>
  <si>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</si>
  <si>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</si>
  <si>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</si>
  <si>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</si>
  <si>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</si>
  <si>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</si>
  <si>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</si>
  <si>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</si>
  <si>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</si>
  <si>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</si>
  <si>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</si>
  <si>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</si>
  <si>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</si>
  <si>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</si>
  <si>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</si>
  <si>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</si>
  <si>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</si>
  <si>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</si>
  <si>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</si>
  <si>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</si>
  <si>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</si>
  <si>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</si>
  <si>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</si>
  <si>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</si>
  <si>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</si>
  <si>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</si>
  <si>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</si>
  <si>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</si>
  <si>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</si>
  <si>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</si>
  <si>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</si>
  <si>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</si>
  <si>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</si>
  <si>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</si>
  <si>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</si>
  <si>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</si>
  <si>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</si>
  <si>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</si>
  <si>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</si>
  <si>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</si>
  <si>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</si>
  <si>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</si>
  <si>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</si>
  <si>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</si>
  <si>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</si>
  <si>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</si>
  <si>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</si>
  <si>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</si>
  <si>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</si>
  <si>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</si>
  <si>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</si>
  <si>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</si>
  <si>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</si>
  <si>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</si>
  <si>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</si>
  <si>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</si>
  <si>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</si>
  <si>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</si>
  <si>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</si>
  <si>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</si>
  <si>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</si>
  <si>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</si>
  <si>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</si>
  <si>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</si>
  <si>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</si>
  <si>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</si>
  <si>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</si>
  <si>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</si>
  <si>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</si>
  <si>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</si>
  <si>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</si>
  <si>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</si>
  <si>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</si>
  <si>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</si>
  <si>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</si>
  <si>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</si>
  <si>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</si>
  <si>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</si>
  <si>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</si>
  <si>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</si>
  <si>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</si>
  <si>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</si>
  <si>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</si>
  <si>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</si>
  <si>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</si>
  <si>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</si>
  <si>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</si>
  <si>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</si>
  <si>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</si>
  <si>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</si>
  <si>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</si>
  <si>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</si>
  <si>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</si>
  <si>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</si>
  <si>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</si>
  <si>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</si>
  <si>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</si>
  <si>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</si>
  <si>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</si>
  <si>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</si>
  <si>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</si>
  <si>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</si>
  <si>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</si>
  <si>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</si>
  <si>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</si>
  <si>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</si>
  <si>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</si>
  <si>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</si>
  <si>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</si>
  <si>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</si>
  <si>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</si>
  <si>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</si>
  <si>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</si>
  <si>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</si>
  <si>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</si>
  <si>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</si>
  <si>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</si>
  <si>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</si>
  <si>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</si>
  <si>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</si>
  <si>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</si>
  <si>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</si>
  <si>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</si>
  <si>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</si>
  <si>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</si>
  <si>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</si>
  <si>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</si>
  <si>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</si>
  <si>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</si>
  <si>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</si>
  <si>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</si>
  <si>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</si>
  <si>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</si>
  <si>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</si>
  <si>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</si>
  <si>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</si>
  <si>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</si>
  <si>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</si>
  <si>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</si>
  <si>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</si>
  <si>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</si>
  <si>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</si>
  <si>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</si>
  <si>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</si>
  <si>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</si>
  <si>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</si>
  <si>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</si>
  <si>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</si>
  <si>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</si>
  <si>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</si>
  <si>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</si>
  <si>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</si>
  <si>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</si>
  <si>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</si>
  <si>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</si>
  <si>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</si>
  <si>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</si>
  <si>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</si>
  <si>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</si>
  <si>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</si>
  <si>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</si>
  <si>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</si>
  <si>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</si>
  <si>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</si>
  <si>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</si>
  <si>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</si>
  <si>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</si>
  <si>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</si>
  <si>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</si>
  <si>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</si>
  <si>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</si>
  <si>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</si>
  <si>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</si>
  <si>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</si>
  <si>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</si>
  <si>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</si>
  <si>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</si>
  <si>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</si>
  <si>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</si>
  <si>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</si>
  <si>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</si>
  <si>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</si>
  <si>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</si>
  <si>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</si>
  <si>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</si>
  <si>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</si>
  <si>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</si>
  <si>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</si>
  <si>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</si>
  <si>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</si>
  <si>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</si>
  <si>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</si>
  <si>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</si>
  <si>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</si>
  <si>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</si>
  <si>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</si>
  <si>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</si>
  <si>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</si>
  <si>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</si>
  <si>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</si>
  <si>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</si>
  <si>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</si>
  <si>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</si>
  <si>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</si>
  <si>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</si>
  <si>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</si>
  <si>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</si>
  <si>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</si>
  <si>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</si>
  <si>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</si>
  <si>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</si>
  <si>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</si>
  <si>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</si>
  <si>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</si>
  <si>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</si>
  <si>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</si>
  <si>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</si>
  <si>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</si>
  <si>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</si>
  <si>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</si>
  <si>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</si>
  <si>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</si>
  <si>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</si>
  <si>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</si>
  <si>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</si>
  <si>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</si>
  <si>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</si>
  <si>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</si>
  <si>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</si>
  <si>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</si>
  <si>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</si>
  <si>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</si>
  <si>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</si>
  <si>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</si>
  <si>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</si>
  <si>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</si>
  <si>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</si>
  <si>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</si>
  <si>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</si>
  <si>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</si>
  <si>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</si>
  <si>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</si>
  <si>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</si>
  <si>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</si>
  <si>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</si>
  <si>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</si>
  <si>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</si>
  <si>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</si>
  <si>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</si>
  <si>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</si>
  <si>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</si>
  <si>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</si>
  <si>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</si>
  <si>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</si>
  <si>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</si>
  <si>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</si>
  <si>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</si>
  <si>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</si>
  <si>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</si>
  <si>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</si>
  <si>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</si>
  <si>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</si>
  <si>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</si>
  <si>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</si>
  <si>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</si>
  <si>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</si>
  <si>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</si>
  <si>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</si>
  <si>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</si>
  <si>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</si>
  <si>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</si>
  <si>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</si>
  <si>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</si>
  <si>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</si>
  <si>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</si>
  <si>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</si>
  <si>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</si>
  <si>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</si>
  <si>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</si>
  <si>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</si>
  <si>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</si>
  <si>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</si>
  <si>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</si>
  <si>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</si>
  <si>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</si>
  <si>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</si>
  <si>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</si>
  <si>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</si>
  <si>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</si>
  <si>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</si>
  <si>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</si>
  <si>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</si>
  <si>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</si>
  <si>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</si>
  <si>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</si>
  <si>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</si>
  <si>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</si>
  <si>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</si>
  <si>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</si>
  <si>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</si>
  <si>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</si>
  <si>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</si>
  <si>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</si>
  <si>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</si>
  <si>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</si>
  <si>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</si>
  <si>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</si>
  <si>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</si>
  <si>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</si>
  <si>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</si>
  <si>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</si>
  <si>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</si>
  <si>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</si>
  <si>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</si>
  <si>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</si>
  <si>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</si>
  <si>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</si>
  <si>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</si>
  <si>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</si>
  <si>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</si>
  <si>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</si>
  <si>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</si>
  <si>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</si>
  <si>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</si>
  <si>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</si>
  <si>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</si>
  <si>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</si>
  <si>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</si>
  <si>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</si>
  <si>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</si>
  <si>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</si>
  <si>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</si>
  <si>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</si>
  <si>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</si>
  <si>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</si>
  <si>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</si>
  <si>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</si>
  <si>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</si>
  <si>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</si>
  <si>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</si>
  <si>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</si>
  <si>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</si>
  <si>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</si>
  <si>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</si>
  <si>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</si>
  <si>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</si>
  <si>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</si>
  <si>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</si>
  <si>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</si>
  <si>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</si>
  <si>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</si>
  <si>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</si>
  <si>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</si>
  <si>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</si>
  <si>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</si>
  <si>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</si>
  <si>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</si>
  <si>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</si>
  <si>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</si>
  <si>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</si>
  <si>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</si>
  <si>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</si>
  <si>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</si>
  <si>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</si>
  <si>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</si>
  <si>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</si>
  <si>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</si>
  <si>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</si>
  <si>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</si>
  <si>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</si>
  <si>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</si>
  <si>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</si>
  <si>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</si>
  <si>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</si>
  <si>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</si>
  <si>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</si>
  <si>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</si>
  <si>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</si>
  <si>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</si>
  <si>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</si>
  <si>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</si>
  <si>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</si>
  <si>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</si>
  <si>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</si>
  <si>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</si>
  <si>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</si>
  <si>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</si>
  <si>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</si>
  <si>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</si>
  <si>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</si>
  <si>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</si>
  <si>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</si>
  <si>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</si>
  <si>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</si>
  <si>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</si>
  <si>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</si>
  <si>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</si>
  <si>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</si>
  <si>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</si>
  <si>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</si>
  <si>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</si>
  <si>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</si>
  <si>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</si>
  <si>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</si>
  <si>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</si>
  <si>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</si>
  <si>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</si>
  <si>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</si>
  <si>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</si>
  <si>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</si>
  <si>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</si>
  <si>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</si>
  <si>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</si>
  <si>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</si>
  <si>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</si>
  <si>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</si>
  <si>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</si>
  <si>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</si>
  <si>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</si>
  <si>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</si>
  <si>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</si>
  <si>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</si>
  <si>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</si>
  <si>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</si>
  <si>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</si>
  <si>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</si>
  <si>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</si>
  <si>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</si>
  <si>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</si>
  <si>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</si>
  <si>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</si>
  <si>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</si>
  <si>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</si>
  <si>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</si>
  <si>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</si>
  <si>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</si>
  <si>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</si>
  <si>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</si>
  <si>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</si>
  <si>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</si>
  <si>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</si>
  <si>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</si>
  <si>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</si>
  <si>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</si>
  <si>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</si>
  <si>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</si>
  <si>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</si>
  <si>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</si>
  <si>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</si>
  <si>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</si>
  <si>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</si>
  <si>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</si>
  <si>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</si>
  <si>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</si>
  <si>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</si>
  <si>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</si>
  <si>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</si>
  <si>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</si>
  <si>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</si>
  <si>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</si>
  <si>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</si>
  <si>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</si>
  <si>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</si>
  <si>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</si>
  <si>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</si>
  <si>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</si>
  <si>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</si>
  <si>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</si>
  <si>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</si>
  <si>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</si>
  <si>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</si>
  <si>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</si>
  <si>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</si>
  <si>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</si>
  <si>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</si>
  <si>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</si>
  <si>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</si>
  <si>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</si>
  <si>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</si>
  <si>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</si>
  <si>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</si>
  <si>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</si>
  <si>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</si>
  <si>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</si>
  <si>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</si>
  <si>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</si>
  <si>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</si>
  <si>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</si>
  <si>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</si>
  <si>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</si>
  <si>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</si>
  <si>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</si>
  <si>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</si>
  <si>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</si>
  <si>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</si>
  <si>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</si>
  <si>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</si>
  <si>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</si>
  <si>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</si>
  <si>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</si>
  <si>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</si>
  <si>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</si>
  <si>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</si>
  <si>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</si>
  <si>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</si>
  <si>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</si>
  <si>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</si>
  <si>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</si>
  <si>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</si>
  <si>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</si>
  <si>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</si>
  <si>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</si>
  <si>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</si>
  <si>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</si>
  <si>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</si>
  <si>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</si>
  <si>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</si>
  <si>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</si>
  <si>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</si>
  <si>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</si>
  <si>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</si>
  <si>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</si>
  <si>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</si>
  <si>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</si>
  <si>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</si>
  <si>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</si>
  <si>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</si>
  <si>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</si>
  <si>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</si>
  <si>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</si>
  <si>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</si>
  <si>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</si>
  <si>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</si>
  <si>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</si>
  <si>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</si>
  <si>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</si>
  <si>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</si>
  <si>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</si>
  <si>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</si>
  <si>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</si>
  <si>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</si>
  <si>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</si>
  <si>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</si>
  <si>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</si>
  <si>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</si>
  <si>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</si>
  <si>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</si>
  <si>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</si>
  <si>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</si>
  <si>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</si>
  <si>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</si>
  <si>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</si>
  <si>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</si>
  <si>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</si>
  <si>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</si>
  <si>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</si>
  <si>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</si>
  <si>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</si>
  <si>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</si>
  <si>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</si>
  <si>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</si>
  <si>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</si>
  <si>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</si>
  <si>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</si>
  <si>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</si>
  <si>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</si>
  <si>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</si>
  <si>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</si>
  <si>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</si>
  <si>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</si>
  <si>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</si>
  <si>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</si>
  <si>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</si>
  <si>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</si>
  <si>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</si>
  <si>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</si>
  <si>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</si>
  <si>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</si>
  <si>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</si>
  <si>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</si>
  <si>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</si>
  <si>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</si>
  <si>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</si>
  <si>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</si>
  <si>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</si>
  <si>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</si>
  <si>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</si>
  <si>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</si>
  <si>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</si>
  <si>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</si>
  <si>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</si>
  <si>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</si>
  <si>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</si>
  <si>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</si>
  <si>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</si>
  <si>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</si>
  <si>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</si>
  <si>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</si>
  <si>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</si>
  <si>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</si>
  <si>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</si>
  <si>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</si>
  <si>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</si>
  <si>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</si>
  <si>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</si>
  <si>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</si>
  <si>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</si>
  <si>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</si>
  <si>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</si>
  <si>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</si>
  <si>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</si>
  <si>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</si>
  <si>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</si>
  <si>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</si>
  <si>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</si>
  <si>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</si>
  <si>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</si>
  <si>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</si>
  <si>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</si>
  <si>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</si>
  <si>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</si>
  <si>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</si>
  <si>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</si>
  <si>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</si>
  <si>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</si>
  <si>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</si>
  <si>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</si>
  <si>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</si>
  <si>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</si>
  <si>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</si>
  <si>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</si>
  <si>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</si>
  <si>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</si>
  <si>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</si>
  <si>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</si>
  <si>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</si>
  <si>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</si>
  <si>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</si>
  <si>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</si>
  <si>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</si>
  <si>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</si>
  <si>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</si>
  <si>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</si>
  <si>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</si>
  <si>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</si>
  <si>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</si>
  <si>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</si>
  <si>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</si>
  <si>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</si>
  <si>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</si>
  <si>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</si>
  <si>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</si>
  <si>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</si>
  <si>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</si>
  <si>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</si>
  <si>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</si>
  <si>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</si>
  <si>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</si>
  <si>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</si>
  <si>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</si>
  <si>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</si>
  <si>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</si>
  <si>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</si>
  <si>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</si>
  <si>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</si>
  <si>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</si>
  <si>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</si>
  <si>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</si>
  <si>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</si>
  <si>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</si>
  <si>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</si>
  <si>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</si>
  <si>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</si>
  <si>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</si>
  <si>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</si>
  <si>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</si>
  <si>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</si>
  <si>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</si>
  <si>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</si>
  <si>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</si>
  <si>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</si>
  <si>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</si>
  <si>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</si>
  <si>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</si>
  <si>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</si>
  <si>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</si>
  <si>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</si>
  <si>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</si>
  <si>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</si>
  <si>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</si>
  <si>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</si>
  <si>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</si>
  <si>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</si>
  <si>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</si>
  <si>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</si>
  <si>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</si>
  <si>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</si>
  <si>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</si>
  <si>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</si>
  <si>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</si>
  <si>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</si>
  <si>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</si>
  <si>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</si>
  <si>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</si>
  <si>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</si>
  <si>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</si>
  <si>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</si>
  <si>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</si>
  <si>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</si>
  <si>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</si>
  <si>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</si>
  <si>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</si>
  <si>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</si>
  <si>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</si>
  <si>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</si>
  <si>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</si>
  <si>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</si>
  <si>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</si>
  <si>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</si>
  <si>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</si>
  <si>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</si>
  <si>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</si>
  <si>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</si>
  <si>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</si>
  <si>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</si>
  <si>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</si>
  <si>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AF3B-Q6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</si>
  <si>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</si>
  <si>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</si>
  <si>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</si>
  <si>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</si>
  <si>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</si>
  <si>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</si>
  <si>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</si>
  <si>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</si>
  <si>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</si>
  <si>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</si>
  <si>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</si>
  <si>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</si>
  <si>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AF2-TTFT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</si>
  <si>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</si>
  <si>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</si>
  <si>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</si>
  <si>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</si>
  <si>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</si>
  <si>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</si>
  <si>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</si>
  <si>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</si>
  <si>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</si>
  <si>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</si>
  <si>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</si>
  <si>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：機隊口徑單價與可達層級同口徑（價格端）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</si>
  <si>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世代混合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）配對的混合單價，層級權重同樣只在可達層級間重新正規化：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AL_PriceGen </t>
    </r>
    <r>
      <rPr>
        <sz val="10"/>
        <color rgb="FF000000"/>
        <rFont val="Noto Sans CJK SC"/>
        <family val="2"/>
      </rPr>
      <t xml:space="preserve">各世代單價、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機隊單價＝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世代單價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付費產能），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、對照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下限、『必須為真』三列）讀 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H10 m_fleet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各欄以該欄世代組合），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。需求路線（模型 </t>
    </r>
    <r>
      <rPr>
        <sz val="10"/>
        <color rgb="FF000000"/>
        <rFont val="Arial"/>
        <family val="0"/>
        <charset val="1"/>
      </rPr>
      <t xml:space="preserve">token AL_DPaid</t>
    </r>
    <r>
      <rPr>
        <sz val="10"/>
        <color rgb="FF000000"/>
        <rFont val="Noto Sans CJK SC"/>
        <family val="2"/>
      </rPr>
      <t xml:space="preserve">）仍用完整層級組合（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列）。理由：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單價與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同口徑；同一個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的分子分母不可用兩組層級。世代間以付費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占比加權為本段的實作選擇（工作單只寫『比照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』），見報告待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</si>
  <si>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</si>
  <si>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</si>
  <si>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</si>
  <si>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 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K1</t>
    </r>
  </si>
  <si>
    <t xml:space="preserve">AF2b-K2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</si>
  <si>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：整代不可達時不轉移世代權重</t>
    </r>
  </si>
  <si>
    <r>
      <rPr>
        <sz val="10"/>
        <color rgb="FF000000"/>
        <rFont val="Noto Sans CJK SC"/>
        <family val="2"/>
      </rPr>
      <t xml:space="preserve">撤回 </t>
    </r>
    <r>
      <rPr>
        <sz val="10"/>
        <color rgb="FF000000"/>
        <rFont val="Arial"/>
        <family val="0"/>
        <charset val="1"/>
      </rPr>
      <t xml:space="preserve">v6.2 2-1-c </t>
    </r>
    <r>
      <rPr>
        <sz val="10"/>
        <color rgb="FF000000"/>
        <rFont val="Noto Sans CJK SC"/>
        <family val="2"/>
      </rPr>
      <t xml:space="preserve">第二點：世代組合是觀察到的機隊事實，任一世代占比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且整代（三個層級）不可達時，不排除該世代、不把占比轉給其餘世代；</t>
    </r>
    <r>
      <rPr>
        <sz val="10"/>
        <color rgb="FF000000"/>
        <rFont val="Arial"/>
        <family val="0"/>
        <charset val="1"/>
      </rPr>
      <t xml:space="preserve">AL_BlendPaid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等輸出文字旗標『整代不可達』，不出現數值或負值（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表、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世代混合同步）。層級層次的排除（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2-1-c </t>
    </r>
    <r>
      <rPr>
        <sz val="10"/>
        <color rgb="FF000000"/>
        <rFont val="Noto Sans CJK SC"/>
        <family val="2"/>
      </rPr>
      <t xml:space="preserve">第一點）不變。</t>
    </r>
    <r>
      <rPr>
        <sz val="10"/>
        <color rgb="FF000000"/>
        <rFont val="Arial"/>
        <family val="0"/>
        <charset val="1"/>
      </rPr>
      <t xml:space="preserve">AL_UnservedGen </t>
    </r>
    <r>
      <rPr>
        <sz val="10"/>
        <color rgb="FF000000"/>
        <rFont val="Noto Sans CJK SC"/>
        <family val="2"/>
      </rPr>
      <t xml:space="preserve">保留顯示占比。基準不變（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可達）。</t>
    </r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</si>
  <si>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</si>
  <si>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 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K2</t>
    </r>
  </si>
  <si>
    <t xml:space="preserve">AF2b-K3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</si>
  <si>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成本列也輸出文字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</si>
  <si>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</si>
  <si>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</si>
  <si>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 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K3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</si>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</sst>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7" hidden="false" customHeight="false" outlineLevel="0" collapsed="false">
      <c r="A42" s="10" t="s">
        <v>78</v>
      </c>
      <c r="B42" s="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80</v>
      </c>
    </row>
    <row r="2" customFormat="false" ht="15" hidden="false" customHeight="true" outlineLevel="0" collapsed="false">
      <c r="A2" s="11" t="s">
        <v>81</v>
      </c>
    </row>
    <row r="3" customFormat="false" ht="15" hidden="false" customHeight="true" outlineLevel="0" collapsed="false">
      <c r="A3" s="12" t="s">
        <v>82</v>
      </c>
      <c r="B3" s="12" t="s">
        <v>83</v>
      </c>
      <c r="C3" s="12"/>
      <c r="D3" s="12" t="s">
        <v>84</v>
      </c>
      <c r="E3" s="12" t="s">
        <v>85</v>
      </c>
      <c r="F3" s="12" t="s">
        <v>86</v>
      </c>
      <c r="G3" s="12" t="s">
        <v>87</v>
      </c>
      <c r="H3" s="12" t="s">
        <v>88</v>
      </c>
    </row>
    <row r="4" customFormat="false" ht="15" hidden="false" customHeight="true" outlineLevel="0" collapsed="false">
      <c r="A4" s="13" t="s">
        <v>89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90</v>
      </c>
      <c r="B5" s="16" t="s">
        <v>91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92</v>
      </c>
      <c r="H5" s="19" t="s">
        <v>93</v>
      </c>
    </row>
    <row r="6" customFormat="false" ht="15" hidden="false" customHeight="true" outlineLevel="0" collapsed="false">
      <c r="A6" s="20" t="s">
        <v>94</v>
      </c>
      <c r="B6" s="21" t="s">
        <v>95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92</v>
      </c>
      <c r="H6" s="19" t="s">
        <v>96</v>
      </c>
    </row>
    <row r="7" customFormat="false" ht="15" hidden="false" customHeight="true" outlineLevel="0" collapsed="false">
      <c r="A7" s="13" t="s">
        <v>97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98</v>
      </c>
      <c r="B8" s="16" t="s">
        <v>99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100</v>
      </c>
      <c r="H8" s="19" t="s">
        <v>101</v>
      </c>
    </row>
    <row r="9" customFormat="false" ht="15" hidden="false" customHeight="true" outlineLevel="0" collapsed="false">
      <c r="A9" s="15" t="s">
        <v>102</v>
      </c>
      <c r="B9" s="16" t="s">
        <v>103</v>
      </c>
      <c r="D9" s="24" t="n">
        <v>1.1</v>
      </c>
      <c r="E9" s="24" t="n">
        <v>1.2</v>
      </c>
      <c r="F9" s="24" t="n">
        <v>1.3</v>
      </c>
      <c r="G9" s="16" t="s">
        <v>104</v>
      </c>
      <c r="H9" s="19" t="s">
        <v>105</v>
      </c>
    </row>
    <row r="10" customFormat="false" ht="15" hidden="false" customHeight="true" outlineLevel="0" collapsed="false">
      <c r="A10" s="20" t="s">
        <v>106</v>
      </c>
      <c r="B10" s="16" t="s">
        <v>99</v>
      </c>
      <c r="D10" s="23" t="n">
        <v>0.7</v>
      </c>
      <c r="E10" s="23" t="n">
        <v>0.8</v>
      </c>
      <c r="F10" s="23" t="n">
        <v>0.9</v>
      </c>
      <c r="G10" s="16" t="s">
        <v>100</v>
      </c>
      <c r="H10" s="6" t="s">
        <v>107</v>
      </c>
    </row>
    <row r="11" customFormat="false" ht="15" hidden="false" customHeight="true" outlineLevel="0" collapsed="false">
      <c r="A11" s="20" t="s">
        <v>108</v>
      </c>
      <c r="B11" s="16" t="s">
        <v>109</v>
      </c>
      <c r="D11" s="24" t="n">
        <v>0.06</v>
      </c>
      <c r="E11" s="24" t="n">
        <v>0.08</v>
      </c>
      <c r="F11" s="24" t="n">
        <v>0.1</v>
      </c>
      <c r="G11" s="16" t="s">
        <v>110</v>
      </c>
      <c r="H11" s="6" t="s">
        <v>111</v>
      </c>
    </row>
    <row r="12" customFormat="false" ht="15" hidden="false" customHeight="true" outlineLevel="0" collapsed="false">
      <c r="A12" s="25" t="s">
        <v>112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113</v>
      </c>
      <c r="B13" s="16" t="s">
        <v>99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104</v>
      </c>
      <c r="H13" s="6" t="s">
        <v>114</v>
      </c>
    </row>
    <row r="14" customFormat="false" ht="15" hidden="false" customHeight="true" outlineLevel="0" collapsed="false">
      <c r="A14" s="20" t="s">
        <v>115</v>
      </c>
      <c r="B14" s="16" t="s">
        <v>116</v>
      </c>
      <c r="D14" s="18" t="n">
        <v>300</v>
      </c>
      <c r="E14" s="18" t="n">
        <v>500</v>
      </c>
      <c r="F14" s="18" t="n">
        <v>800</v>
      </c>
      <c r="G14" s="16" t="s">
        <v>100</v>
      </c>
      <c r="H14" s="6" t="s">
        <v>117</v>
      </c>
    </row>
    <row r="15" customFormat="false" ht="15" hidden="false" customHeight="true" outlineLevel="0" collapsed="false">
      <c r="A15" s="13" t="s">
        <v>118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119</v>
      </c>
      <c r="B16" s="16" t="s">
        <v>120</v>
      </c>
      <c r="D16" s="24" t="n">
        <v>0.02</v>
      </c>
      <c r="E16" s="24" t="n">
        <v>0.02</v>
      </c>
      <c r="F16" s="24" t="n">
        <v>0.02</v>
      </c>
      <c r="G16" s="16" t="s">
        <v>100</v>
      </c>
      <c r="H16" s="6" t="s">
        <v>121</v>
      </c>
    </row>
    <row r="17" customFormat="false" ht="15" hidden="false" customHeight="true" outlineLevel="0" collapsed="false">
      <c r="A17" s="20" t="s">
        <v>122</v>
      </c>
      <c r="B17" s="16" t="s">
        <v>120</v>
      </c>
      <c r="D17" s="24" t="n">
        <v>3</v>
      </c>
      <c r="E17" s="24" t="n">
        <v>3.6</v>
      </c>
      <c r="F17" s="24" t="n">
        <v>4.5</v>
      </c>
      <c r="G17" s="16" t="s">
        <v>100</v>
      </c>
      <c r="H17" s="19" t="s">
        <v>123</v>
      </c>
    </row>
    <row r="18" customFormat="false" ht="15" hidden="false" customHeight="true" outlineLevel="0" collapsed="false">
      <c r="A18" s="20" t="s">
        <v>124</v>
      </c>
      <c r="B18" s="16" t="s">
        <v>120</v>
      </c>
      <c r="D18" s="24" t="n">
        <v>3.8</v>
      </c>
      <c r="E18" s="24" t="n">
        <v>4.5</v>
      </c>
      <c r="F18" s="24" t="n">
        <v>5.5</v>
      </c>
      <c r="G18" s="16" t="s">
        <v>100</v>
      </c>
      <c r="H18" s="19" t="s">
        <v>125</v>
      </c>
    </row>
    <row r="19" customFormat="false" ht="15" hidden="false" customHeight="true" outlineLevel="0" collapsed="false">
      <c r="A19" s="20" t="s">
        <v>126</v>
      </c>
      <c r="B19" s="16" t="s">
        <v>120</v>
      </c>
      <c r="D19" s="24" t="n">
        <v>2</v>
      </c>
      <c r="E19" s="24" t="n">
        <v>2.5</v>
      </c>
      <c r="F19" s="24" t="n">
        <v>3.2</v>
      </c>
      <c r="G19" s="16" t="s">
        <v>100</v>
      </c>
      <c r="H19" s="19" t="s">
        <v>127</v>
      </c>
    </row>
    <row r="20" customFormat="false" ht="15" hidden="false" customHeight="true" outlineLevel="0" collapsed="false">
      <c r="A20" s="20" t="s">
        <v>128</v>
      </c>
      <c r="B20" s="16" t="s">
        <v>120</v>
      </c>
      <c r="D20" s="24" t="n">
        <v>0.3</v>
      </c>
      <c r="E20" s="24" t="n">
        <v>0.4</v>
      </c>
      <c r="F20" s="24" t="n">
        <v>0.5</v>
      </c>
      <c r="G20" s="16" t="s">
        <v>100</v>
      </c>
      <c r="H20" s="19" t="s">
        <v>125</v>
      </c>
    </row>
    <row r="21" customFormat="false" ht="15" hidden="false" customHeight="true" outlineLevel="0" collapsed="false">
      <c r="A21" s="20" t="s">
        <v>129</v>
      </c>
      <c r="B21" s="16" t="s">
        <v>130</v>
      </c>
      <c r="D21" s="23" t="n">
        <v>0.12</v>
      </c>
      <c r="E21" s="23" t="n">
        <v>0.15</v>
      </c>
      <c r="F21" s="23" t="n">
        <v>0.18</v>
      </c>
      <c r="G21" s="16" t="s">
        <v>100</v>
      </c>
      <c r="H21" s="6" t="s">
        <v>131</v>
      </c>
    </row>
    <row r="22" customFormat="false" ht="15" hidden="false" customHeight="true" outlineLevel="0" collapsed="false">
      <c r="A22" s="13" t="s">
        <v>132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133</v>
      </c>
      <c r="B23" s="21" t="s">
        <v>134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135</v>
      </c>
      <c r="H23" s="6" t="s">
        <v>136</v>
      </c>
    </row>
    <row r="24" customFormat="false" ht="15" hidden="false" customHeight="true" outlineLevel="0" collapsed="false">
      <c r="A24" s="20" t="s">
        <v>137</v>
      </c>
      <c r="B24" s="21" t="s">
        <v>134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104</v>
      </c>
      <c r="H24" s="6" t="s">
        <v>138</v>
      </c>
    </row>
    <row r="25" customFormat="false" ht="15" hidden="false" customHeight="true" outlineLevel="0" collapsed="false">
      <c r="A25" s="20" t="s">
        <v>139</v>
      </c>
      <c r="B25" s="21" t="s">
        <v>134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104</v>
      </c>
      <c r="H25" s="6" t="s">
        <v>138</v>
      </c>
    </row>
    <row r="26" customFormat="false" ht="15" hidden="false" customHeight="true" outlineLevel="0" collapsed="false">
      <c r="A26" s="20" t="s">
        <v>140</v>
      </c>
      <c r="B26" s="21" t="s">
        <v>134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104</v>
      </c>
      <c r="H26" s="6" t="s">
        <v>138</v>
      </c>
    </row>
    <row r="27" customFormat="false" ht="15" hidden="false" customHeight="true" outlineLevel="0" collapsed="false">
      <c r="A27" s="20" t="s">
        <v>141</v>
      </c>
      <c r="B27" s="21" t="s">
        <v>134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104</v>
      </c>
      <c r="H27" s="6" t="s">
        <v>138</v>
      </c>
    </row>
    <row r="28" customFormat="false" ht="15" hidden="false" customHeight="true" outlineLevel="0" collapsed="false">
      <c r="A28" s="15" t="s">
        <v>142</v>
      </c>
      <c r="B28" s="16" t="s">
        <v>99</v>
      </c>
      <c r="D28" s="23" t="n">
        <v>0.08</v>
      </c>
      <c r="E28" s="23" t="n">
        <v>0.1</v>
      </c>
      <c r="F28" s="23" t="n">
        <v>0.13</v>
      </c>
      <c r="G28" s="16" t="s">
        <v>100</v>
      </c>
      <c r="H28" s="19" t="s">
        <v>143</v>
      </c>
    </row>
    <row r="29" customFormat="false" ht="15" hidden="false" customHeight="true" outlineLevel="0" collapsed="false">
      <c r="A29" s="13" t="s">
        <v>144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145</v>
      </c>
      <c r="B30" s="16" t="s">
        <v>146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147</v>
      </c>
      <c r="H30" s="6" t="s">
        <v>148</v>
      </c>
    </row>
    <row r="31" customFormat="false" ht="15" hidden="false" customHeight="true" outlineLevel="0" collapsed="false">
      <c r="A31" s="20" t="s">
        <v>149</v>
      </c>
      <c r="B31" s="16" t="s">
        <v>150</v>
      </c>
      <c r="D31" s="23" t="n">
        <v>0.015</v>
      </c>
      <c r="E31" s="23" t="n">
        <v>0.02</v>
      </c>
      <c r="F31" s="23" t="n">
        <v>0.025</v>
      </c>
      <c r="G31" s="16" t="s">
        <v>104</v>
      </c>
      <c r="H31" s="6" t="s">
        <v>151</v>
      </c>
    </row>
    <row r="32" customFormat="false" ht="15" hidden="false" customHeight="true" outlineLevel="0" collapsed="false">
      <c r="A32" s="20" t="s">
        <v>152</v>
      </c>
      <c r="B32" s="16" t="s">
        <v>153</v>
      </c>
      <c r="D32" s="18" t="n">
        <v>50</v>
      </c>
      <c r="E32" s="18" t="n">
        <v>75</v>
      </c>
      <c r="F32" s="18" t="n">
        <v>100</v>
      </c>
      <c r="G32" s="16" t="s">
        <v>100</v>
      </c>
      <c r="H32" s="6" t="s">
        <v>154</v>
      </c>
    </row>
    <row r="33" customFormat="false" ht="15" hidden="false" customHeight="true" outlineLevel="0" collapsed="false">
      <c r="A33" s="20" t="s">
        <v>155</v>
      </c>
      <c r="B33" s="16" t="s">
        <v>153</v>
      </c>
      <c r="D33" s="18" t="n">
        <v>150</v>
      </c>
      <c r="E33" s="18" t="n">
        <v>200</v>
      </c>
      <c r="F33" s="18" t="n">
        <v>250</v>
      </c>
      <c r="G33" s="16" t="s">
        <v>100</v>
      </c>
      <c r="H33" s="6" t="s">
        <v>156</v>
      </c>
    </row>
    <row r="34" customFormat="false" ht="15" hidden="false" customHeight="true" outlineLevel="0" collapsed="false">
      <c r="A34" s="20" t="s">
        <v>157</v>
      </c>
      <c r="B34" s="16" t="s">
        <v>158</v>
      </c>
      <c r="D34" s="24" t="n">
        <v>0.04</v>
      </c>
      <c r="E34" s="24" t="n">
        <v>0.05</v>
      </c>
      <c r="F34" s="24" t="n">
        <v>0.06</v>
      </c>
      <c r="G34" s="16" t="s">
        <v>100</v>
      </c>
      <c r="H34" s="6" t="s">
        <v>159</v>
      </c>
    </row>
    <row r="35" customFormat="false" ht="15" hidden="false" customHeight="true" outlineLevel="0" collapsed="false">
      <c r="A35" s="20" t="s">
        <v>160</v>
      </c>
      <c r="B35" s="16" t="s">
        <v>161</v>
      </c>
      <c r="D35" s="23" t="n">
        <v>0.003</v>
      </c>
      <c r="E35" s="23" t="n">
        <v>0.005</v>
      </c>
      <c r="F35" s="23" t="n">
        <v>0.008</v>
      </c>
      <c r="G35" s="16" t="s">
        <v>104</v>
      </c>
      <c r="H35" s="6" t="s">
        <v>162</v>
      </c>
    </row>
    <row r="36" customFormat="false" ht="15" hidden="false" customHeight="true" outlineLevel="0" collapsed="false">
      <c r="A36" s="28" t="s">
        <v>163</v>
      </c>
      <c r="B36" s="29" t="s">
        <v>134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135</v>
      </c>
      <c r="H36" s="28" t="s">
        <v>164</v>
      </c>
    </row>
    <row r="37" customFormat="false" ht="15" hidden="false" customHeight="true" outlineLevel="0" collapsed="false">
      <c r="A37" s="28" t="s">
        <v>165</v>
      </c>
      <c r="B37" s="32" t="s">
        <v>146</v>
      </c>
      <c r="D37" s="33" t="n">
        <v>0.0025</v>
      </c>
      <c r="E37" s="33" t="n">
        <v>0.005</v>
      </c>
      <c r="F37" s="33" t="n">
        <v>0.01</v>
      </c>
      <c r="G37" s="32" t="s">
        <v>104</v>
      </c>
      <c r="H37" s="28" t="s">
        <v>166</v>
      </c>
    </row>
    <row r="38" customFormat="false" ht="15" hidden="false" customHeight="true" outlineLevel="0" collapsed="false">
      <c r="A38" s="28" t="s">
        <v>167</v>
      </c>
      <c r="B38" s="32" t="s">
        <v>146</v>
      </c>
      <c r="D38" s="33" t="n">
        <v>0.02</v>
      </c>
      <c r="E38" s="33" t="n">
        <v>0.03</v>
      </c>
      <c r="F38" s="33" t="n">
        <v>0.05</v>
      </c>
      <c r="G38" s="32" t="s">
        <v>104</v>
      </c>
      <c r="H38" s="28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169</v>
      </c>
    </row>
    <row r="2" customFormat="false" ht="15" hidden="false" customHeight="true" outlineLevel="0" collapsed="false">
      <c r="A2" s="11" t="s">
        <v>170</v>
      </c>
    </row>
    <row r="4" customFormat="false" ht="15" hidden="false" customHeight="true" outlineLevel="0" collapsed="false">
      <c r="A4" s="34" t="s">
        <v>171</v>
      </c>
      <c r="C4" s="25" t="s">
        <v>172</v>
      </c>
      <c r="D4" s="25" t="s">
        <v>173</v>
      </c>
      <c r="E4" s="25" t="s">
        <v>174</v>
      </c>
      <c r="F4" s="25" t="s">
        <v>175</v>
      </c>
      <c r="G4" s="25" t="s">
        <v>176</v>
      </c>
      <c r="H4" s="9" t="s">
        <v>177</v>
      </c>
    </row>
    <row r="5" customFormat="false" ht="15" hidden="false" customHeight="true" outlineLevel="0" collapsed="false">
      <c r="A5" s="20" t="s">
        <v>178</v>
      </c>
      <c r="C5" s="6" t="s">
        <v>179</v>
      </c>
      <c r="D5" s="6" t="s">
        <v>180</v>
      </c>
      <c r="E5" s="6" t="s">
        <v>181</v>
      </c>
      <c r="F5" s="6" t="s">
        <v>182</v>
      </c>
      <c r="G5" s="6" t="s">
        <v>183</v>
      </c>
    </row>
    <row r="6" customFormat="false" ht="15" hidden="false" customHeight="true" outlineLevel="0" collapsed="false">
      <c r="A6" s="15" t="s">
        <v>184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185</v>
      </c>
      <c r="C7" s="19" t="s">
        <v>186</v>
      </c>
      <c r="D7" s="19" t="s">
        <v>187</v>
      </c>
      <c r="E7" s="19" t="s">
        <v>187</v>
      </c>
      <c r="F7" s="19" t="s">
        <v>188</v>
      </c>
      <c r="G7" s="19" t="s">
        <v>187</v>
      </c>
    </row>
    <row r="8" customFormat="false" ht="15" hidden="false" customHeight="true" outlineLevel="0" collapsed="false">
      <c r="A8" s="20" t="s">
        <v>189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190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191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192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193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194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195</v>
      </c>
      <c r="C14" s="38" t="s">
        <v>196</v>
      </c>
      <c r="D14" s="39" t="s">
        <v>197</v>
      </c>
      <c r="E14" s="39" t="s">
        <v>125</v>
      </c>
      <c r="F14" s="39" t="s">
        <v>198</v>
      </c>
      <c r="G14" s="38" t="s">
        <v>199</v>
      </c>
    </row>
    <row r="15" customFormat="false" ht="54" hidden="false" customHeight="true" outlineLevel="0" collapsed="false">
      <c r="A15" s="20" t="s">
        <v>200</v>
      </c>
      <c r="C15" s="38" t="s">
        <v>201</v>
      </c>
      <c r="D15" s="39" t="s">
        <v>202</v>
      </c>
      <c r="E15" s="38" t="s">
        <v>203</v>
      </c>
      <c r="F15" s="38" t="s">
        <v>204</v>
      </c>
      <c r="G15" s="39" t="s">
        <v>205</v>
      </c>
    </row>
    <row r="16" customFormat="false" ht="54" hidden="false" customHeight="true" outlineLevel="0" collapsed="false">
      <c r="A16" s="20" t="s">
        <v>206</v>
      </c>
      <c r="C16" s="40" t="s">
        <v>207</v>
      </c>
      <c r="D16" s="38" t="s">
        <v>208</v>
      </c>
      <c r="E16" s="38" t="s">
        <v>209</v>
      </c>
      <c r="F16" s="38" t="s">
        <v>210</v>
      </c>
      <c r="G16" s="39" t="s">
        <v>211</v>
      </c>
    </row>
    <row r="17" customFormat="false" ht="54" hidden="false" customHeight="true" outlineLevel="0" collapsed="false">
      <c r="A17" s="20" t="s">
        <v>87</v>
      </c>
      <c r="C17" s="38" t="s">
        <v>104</v>
      </c>
      <c r="D17" s="38" t="s">
        <v>212</v>
      </c>
      <c r="E17" s="38" t="s">
        <v>213</v>
      </c>
      <c r="F17" s="38" t="s">
        <v>212</v>
      </c>
      <c r="G17" s="38" t="s">
        <v>214</v>
      </c>
    </row>
    <row r="19" customFormat="false" ht="15" hidden="false" customHeight="true" outlineLevel="0" collapsed="false">
      <c r="A19" s="11" t="s">
        <v>215</v>
      </c>
    </row>
    <row r="21" customFormat="false" ht="15" hidden="false" customHeight="true" outlineLevel="0" collapsed="false">
      <c r="A21" s="41" t="s">
        <v>216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2" t="s">
        <v>217</v>
      </c>
      <c r="C22" s="28" t="s">
        <v>218</v>
      </c>
      <c r="D22" s="28" t="s">
        <v>219</v>
      </c>
      <c r="E22" s="28" t="s">
        <v>219</v>
      </c>
      <c r="F22" s="28" t="s">
        <v>219</v>
      </c>
      <c r="G22" s="28" t="s">
        <v>219</v>
      </c>
      <c r="H22" s="43" t="s">
        <v>220</v>
      </c>
    </row>
    <row r="23" customFormat="false" ht="15" hidden="false" customHeight="true" outlineLevel="0" collapsed="false">
      <c r="A23" s="42" t="s">
        <v>221</v>
      </c>
      <c r="C23" s="44" t="n">
        <f aca="false">SRC_HW_040</f>
        <v>1.979</v>
      </c>
      <c r="D23" s="44" t="n">
        <f aca="false">SRC_HW_022</f>
        <v>10</v>
      </c>
      <c r="E23" s="44" t="n">
        <f aca="false">SRC_HW_025</f>
        <v>15</v>
      </c>
      <c r="F23" s="44" t="n">
        <f aca="false">SRC_HW_028</f>
        <v>35</v>
      </c>
      <c r="G23" s="45" t="n">
        <v>70</v>
      </c>
      <c r="H23" s="43" t="s">
        <v>222</v>
      </c>
    </row>
    <row r="24" customFormat="false" ht="15" hidden="false" customHeight="true" outlineLevel="0" collapsed="false">
      <c r="A24" s="42" t="s">
        <v>223</v>
      </c>
      <c r="C24" s="46" t="n">
        <f aca="false">C23</f>
        <v>1.979</v>
      </c>
      <c r="D24" s="44" t="n">
        <f aca="false">SRC_HW_022</f>
        <v>10</v>
      </c>
      <c r="E24" s="44" t="n">
        <f aca="false">SRC_HW_025</f>
        <v>15</v>
      </c>
      <c r="F24" s="44" t="n">
        <f aca="false">SRC_HW_027</f>
        <v>50</v>
      </c>
      <c r="G24" s="45" t="n">
        <v>100</v>
      </c>
      <c r="H24" s="43" t="s">
        <v>224</v>
      </c>
    </row>
    <row r="25" customFormat="false" ht="15" hidden="false" customHeight="true" outlineLevel="0" collapsed="false">
      <c r="A25" s="28" t="s">
        <v>225</v>
      </c>
      <c r="C25" s="47" t="n">
        <f aca="false">SRC_HW_020</f>
        <v>80</v>
      </c>
      <c r="D25" s="48" t="n">
        <v>186</v>
      </c>
      <c r="E25" s="47" t="n">
        <f aca="false">SRC_HW_026</f>
        <v>288</v>
      </c>
      <c r="F25" s="47" t="n">
        <f aca="false">SRC_HW_029</f>
        <v>288</v>
      </c>
      <c r="G25" s="48" t="n">
        <v>1024</v>
      </c>
      <c r="H25" s="43" t="s">
        <v>226</v>
      </c>
    </row>
    <row r="26" customFormat="false" ht="15" hidden="false" customHeight="true" outlineLevel="0" collapsed="false">
      <c r="A26" s="28" t="s">
        <v>227</v>
      </c>
      <c r="C26" s="49" t="n">
        <f aca="false">SRC_HW_021</f>
        <v>3.35</v>
      </c>
      <c r="D26" s="49" t="n">
        <f aca="false">SRC_HW_023</f>
        <v>8</v>
      </c>
      <c r="E26" s="49" t="n">
        <f aca="false">SRC_HW_059</f>
        <v>8</v>
      </c>
      <c r="F26" s="49" t="n">
        <f aca="false">SRC_HW_030</f>
        <v>22</v>
      </c>
      <c r="G26" s="50" t="n">
        <v>32</v>
      </c>
      <c r="H26" s="43" t="s">
        <v>228</v>
      </c>
    </row>
    <row r="27" customFormat="false" ht="15" hidden="false" customHeight="true" outlineLevel="0" collapsed="false">
      <c r="A27" s="28" t="s">
        <v>229</v>
      </c>
      <c r="C27" s="49" t="n">
        <f aca="false">SRC_HW_060/8/1000</f>
        <v>0.05</v>
      </c>
      <c r="D27" s="49" t="n">
        <f aca="false">SRC_HW_048</f>
        <v>0.9</v>
      </c>
      <c r="E27" s="49" t="n">
        <f aca="false">SRC_HW_048</f>
        <v>0.9</v>
      </c>
      <c r="F27" s="49" t="n">
        <f aca="false">SRC_HW_049</f>
        <v>1.8</v>
      </c>
      <c r="G27" s="50" t="n">
        <v>1.8</v>
      </c>
      <c r="H27" s="43" t="s">
        <v>230</v>
      </c>
    </row>
    <row r="28" customFormat="false" ht="15" hidden="false" customHeight="true" outlineLevel="0" collapsed="false">
      <c r="A28" s="28" t="s">
        <v>231</v>
      </c>
      <c r="C28" s="47" t="n">
        <f aca="false">SRC_HW_053</f>
        <v>8</v>
      </c>
      <c r="D28" s="47" t="n">
        <f aca="false">SRC_HW_047</f>
        <v>72</v>
      </c>
      <c r="E28" s="47" t="n">
        <f aca="false">SRC_HW_047</f>
        <v>72</v>
      </c>
      <c r="F28" s="47" t="n">
        <f aca="false">SRC_HW_047</f>
        <v>72</v>
      </c>
      <c r="G28" s="47" t="n">
        <f aca="false">SRC_HW_062</f>
        <v>576</v>
      </c>
      <c r="H28" s="43"/>
    </row>
    <row r="29" customFormat="false" ht="15" hidden="false" customHeight="true" outlineLevel="0" collapsed="false">
      <c r="A29" s="28" t="s">
        <v>232</v>
      </c>
      <c r="C29" s="48" t="n">
        <v>64</v>
      </c>
      <c r="D29" s="48" t="n">
        <v>32</v>
      </c>
      <c r="E29" s="47" t="n">
        <f aca="false">SRC_PERF_008</f>
        <v>32</v>
      </c>
      <c r="F29" s="48" t="n">
        <v>32</v>
      </c>
      <c r="G29" s="48" t="n">
        <v>64</v>
      </c>
      <c r="H29" s="43" t="s">
        <v>233</v>
      </c>
    </row>
    <row r="30" customFormat="false" ht="15" hidden="false" customHeight="true" outlineLevel="0" collapsed="false">
      <c r="A30" s="42" t="s">
        <v>234</v>
      </c>
      <c r="C30" s="51" t="n">
        <f aca="false">SRC_HW_055</f>
        <v>1</v>
      </c>
      <c r="D30" s="51" t="n">
        <f aca="false">SRC_HW_050</f>
        <v>0.5625</v>
      </c>
      <c r="E30" s="51" t="n">
        <f aca="false">SRC_HW_050</f>
        <v>0.5625</v>
      </c>
      <c r="F30" s="51" t="n">
        <f aca="false">SRC_HW_050</f>
        <v>0.5625</v>
      </c>
      <c r="G30" s="51" t="n">
        <f aca="false">SRC_HW_050</f>
        <v>0.5625</v>
      </c>
      <c r="H30" s="43" t="s">
        <v>235</v>
      </c>
    </row>
    <row r="31" customFormat="false" ht="15" hidden="false" customHeight="true" outlineLevel="0" collapsed="false">
      <c r="A31" s="42" t="s">
        <v>236</v>
      </c>
      <c r="C31" s="52" t="n">
        <v>1</v>
      </c>
      <c r="D31" s="52" t="n">
        <v>1</v>
      </c>
      <c r="E31" s="52" t="n">
        <v>1</v>
      </c>
      <c r="F31" s="52" t="n">
        <v>1</v>
      </c>
      <c r="G31" s="52" t="n">
        <v>1</v>
      </c>
      <c r="H31" s="53" t="s">
        <v>237</v>
      </c>
    </row>
    <row r="32" customFormat="false" ht="15" hidden="false" customHeight="true" outlineLevel="0" collapsed="false">
      <c r="A32" s="42" t="s">
        <v>238</v>
      </c>
      <c r="C32" s="48" t="n">
        <v>8</v>
      </c>
      <c r="D32" s="48" t="n">
        <v>4</v>
      </c>
      <c r="E32" s="47" t="n">
        <f aca="false">SRC_PERF_007</f>
        <v>4</v>
      </c>
      <c r="F32" s="48" t="n">
        <v>4</v>
      </c>
      <c r="G32" s="48" t="n">
        <v>8</v>
      </c>
      <c r="H32" s="43" t="s">
        <v>239</v>
      </c>
    </row>
    <row r="33" customFormat="false" ht="15" hidden="false" customHeight="true" outlineLevel="0" collapsed="false">
      <c r="A33" s="28" t="s">
        <v>240</v>
      </c>
      <c r="C33" s="47" t="n">
        <f aca="false">SRC_HW_056</f>
        <v>700</v>
      </c>
      <c r="D33" s="47" t="n">
        <f aca="false">SRC_HW_057</f>
        <v>1200</v>
      </c>
      <c r="E33" s="47" t="n">
        <f aca="false">SRC_HW_058</f>
        <v>1400</v>
      </c>
      <c r="F33" s="47" t="n">
        <f aca="false">SRC_HW_046*1000</f>
        <v>1800</v>
      </c>
      <c r="G33" s="48" t="n">
        <v>3600</v>
      </c>
      <c r="H33" s="43" t="s">
        <v>241</v>
      </c>
    </row>
    <row r="34" customFormat="false" ht="15" hidden="false" customHeight="true" outlineLevel="0" collapsed="false">
      <c r="A34" s="28" t="s">
        <v>242</v>
      </c>
      <c r="C34" s="48" t="n">
        <v>31</v>
      </c>
      <c r="D34" s="48" t="n">
        <v>25</v>
      </c>
      <c r="E34" s="48" t="n">
        <v>25</v>
      </c>
      <c r="F34" s="47" t="n">
        <f aca="false">SRC_HW_034*8</f>
        <v>20</v>
      </c>
      <c r="G34" s="48" t="n">
        <v>18</v>
      </c>
      <c r="H34" s="43" t="s">
        <v>243</v>
      </c>
    </row>
    <row r="35" customFormat="false" ht="15" hidden="false" customHeight="true" outlineLevel="0" collapsed="false">
      <c r="A35" s="9" t="s">
        <v>244</v>
      </c>
      <c r="C35" s="54" t="n">
        <f aca="false">IF(Serving!$C$16=2,C24,C23)</f>
        <v>1.979</v>
      </c>
      <c r="D35" s="54" t="n">
        <f aca="false">IF(Serving!$C$16=2,D24,D23)</f>
        <v>10</v>
      </c>
      <c r="E35" s="54" t="n">
        <f aca="false">IF(Serving!$C$16=2,E24,E23)</f>
        <v>15</v>
      </c>
      <c r="F35" s="54" t="n">
        <f aca="false">IF(Serving!$C$16=2,F24,F23)</f>
        <v>35</v>
      </c>
      <c r="G35" s="54" t="n">
        <f aca="false">IF(Serving!$C$16=2,G24,G23)</f>
        <v>70</v>
      </c>
    </row>
    <row r="36" customFormat="false" ht="15" hidden="false" customHeight="true" outlineLevel="0" collapsed="false">
      <c r="A36" s="28" t="s">
        <v>245</v>
      </c>
      <c r="C36" s="55" t="n">
        <f aca="false">C35*1000/C26</f>
        <v>590.746268656716</v>
      </c>
      <c r="D36" s="55" t="n">
        <f aca="false">D35*1000/D26</f>
        <v>1250</v>
      </c>
      <c r="E36" s="55" t="n">
        <f aca="false">E35*1000/E26</f>
        <v>1875</v>
      </c>
      <c r="F36" s="55" t="n">
        <f aca="false">F35*1000/F26</f>
        <v>1590.90909090909</v>
      </c>
      <c r="G36" s="55" t="n">
        <f aca="false">G35*1000/G26</f>
        <v>2187.5</v>
      </c>
    </row>
    <row r="38" customFormat="false" ht="15" hidden="false" customHeight="true" outlineLevel="0" collapsed="false">
      <c r="A38" s="41" t="s">
        <v>246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247</v>
      </c>
      <c r="C39" s="44" t="n">
        <f aca="false">SRC_HW_019</f>
        <v>0.989</v>
      </c>
      <c r="D39" s="44" t="n">
        <f aca="false">SRC_HW_042</f>
        <v>2.5</v>
      </c>
      <c r="E39" s="44" t="n">
        <f aca="false">SRC_HW_042</f>
        <v>2.5</v>
      </c>
      <c r="F39" s="44" t="n">
        <f aca="false">SRC_HW_039/SRC_HW_047</f>
        <v>4</v>
      </c>
      <c r="G39" s="45" t="n">
        <v>8</v>
      </c>
      <c r="H39" s="43" t="s">
        <v>248</v>
      </c>
    </row>
    <row r="40" customFormat="false" ht="15" hidden="false" customHeight="true" outlineLevel="0" collapsed="false">
      <c r="A40" s="28" t="s">
        <v>249</v>
      </c>
      <c r="C40" s="44" t="n">
        <f aca="false">SRC_HW_040</f>
        <v>1.979</v>
      </c>
      <c r="D40" s="44" t="n">
        <f aca="false">SRC_HW_043</f>
        <v>5</v>
      </c>
      <c r="E40" s="44" t="n">
        <f aca="false">SRC_HW_043</f>
        <v>5</v>
      </c>
      <c r="F40" s="44" t="n">
        <f aca="false">SRC_HW_038/SRC_HW_047</f>
        <v>17.5</v>
      </c>
      <c r="G40" s="45" t="n">
        <v>35</v>
      </c>
      <c r="H40" s="43" t="s">
        <v>250</v>
      </c>
    </row>
    <row r="41" customFormat="false" ht="15" hidden="false" customHeight="true" outlineLevel="0" collapsed="false">
      <c r="A41" s="28" t="s">
        <v>251</v>
      </c>
      <c r="C41" s="46" t="n">
        <f aca="false">C40</f>
        <v>1.979</v>
      </c>
      <c r="D41" s="45" t="n">
        <v>10</v>
      </c>
      <c r="E41" s="45" t="n">
        <v>15</v>
      </c>
      <c r="F41" s="44" t="n">
        <f aca="false">SRC_HW_037/SRC_HW_047</f>
        <v>35</v>
      </c>
      <c r="G41" s="45" t="n">
        <v>70</v>
      </c>
      <c r="H41" s="43" t="s">
        <v>252</v>
      </c>
    </row>
    <row r="43" customFormat="false" ht="15" hidden="false" customHeight="true" outlineLevel="0" collapsed="false">
      <c r="A43" s="56" t="s">
        <v>253</v>
      </c>
      <c r="B43" s="14"/>
      <c r="C43" s="14"/>
      <c r="D43" s="14"/>
      <c r="E43" s="14"/>
      <c r="F43" s="14"/>
      <c r="G43" s="14"/>
      <c r="H43" s="14"/>
    </row>
    <row r="44" customFormat="false" ht="15" hidden="false" customHeight="true" outlineLevel="0" collapsed="false">
      <c r="A44" s="42" t="s">
        <v>254</v>
      </c>
      <c r="C44" s="52" t="n">
        <v>1</v>
      </c>
      <c r="D44" s="52" t="n">
        <v>1</v>
      </c>
      <c r="E44" s="52" t="n">
        <v>1</v>
      </c>
      <c r="F44" s="52" t="n">
        <v>1</v>
      </c>
      <c r="G44" s="52" t="n">
        <v>1</v>
      </c>
      <c r="H44" s="43" t="s">
        <v>255</v>
      </c>
    </row>
    <row r="45" customFormat="false" ht="15" hidden="false" customHeight="true" outlineLevel="0" collapsed="false">
      <c r="A45" s="42" t="s">
        <v>256</v>
      </c>
      <c r="C45" s="52" t="n">
        <v>0.5</v>
      </c>
      <c r="D45" s="52" t="n">
        <v>0.3</v>
      </c>
      <c r="E45" s="52" t="n">
        <v>1</v>
      </c>
      <c r="F45" s="52" t="n">
        <v>1</v>
      </c>
      <c r="G45" s="52" t="n">
        <v>1</v>
      </c>
      <c r="H45" s="43" t="s">
        <v>257</v>
      </c>
    </row>
    <row r="46" customFormat="false" ht="15" hidden="false" customHeight="true" outlineLevel="0" collapsed="false">
      <c r="A46" s="42" t="s">
        <v>258</v>
      </c>
      <c r="C46" s="52" t="n">
        <v>1.3</v>
      </c>
      <c r="D46" s="52" t="n">
        <v>1</v>
      </c>
      <c r="E46" s="52" t="n">
        <v>1</v>
      </c>
      <c r="F46" s="52" t="n">
        <v>2.5</v>
      </c>
      <c r="G46" s="52" t="n">
        <v>1</v>
      </c>
      <c r="H46" s="43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7" t="s">
        <v>260</v>
      </c>
    </row>
    <row r="2" customFormat="false" ht="15" hidden="false" customHeight="false" outlineLevel="0" collapsed="false">
      <c r="A2" s="58" t="s">
        <v>261</v>
      </c>
    </row>
    <row r="4" customFormat="false" ht="15" hidden="false" customHeight="false" outlineLevel="0" collapsed="false">
      <c r="A4" s="59" t="s">
        <v>82</v>
      </c>
      <c r="B4" s="59" t="s">
        <v>83</v>
      </c>
      <c r="C4" s="10" t="s">
        <v>262</v>
      </c>
      <c r="D4" s="10" t="s">
        <v>263</v>
      </c>
      <c r="E4" s="10" t="s">
        <v>264</v>
      </c>
      <c r="F4" s="59" t="s">
        <v>87</v>
      </c>
      <c r="G4" s="59" t="s">
        <v>88</v>
      </c>
    </row>
    <row r="5" customFormat="false" ht="15" hidden="false" customHeight="false" outlineLevel="0" collapsed="false">
      <c r="A5" s="60" t="s">
        <v>265</v>
      </c>
      <c r="B5" s="60"/>
      <c r="C5" s="61" t="s">
        <v>266</v>
      </c>
      <c r="D5" s="61" t="s">
        <v>267</v>
      </c>
      <c r="E5" s="60" t="s">
        <v>268</v>
      </c>
      <c r="F5" s="58" t="s">
        <v>92</v>
      </c>
      <c r="G5" s="58" t="s">
        <v>269</v>
      </c>
    </row>
    <row r="6" customFormat="false" ht="15" hidden="false" customHeight="false" outlineLevel="0" collapsed="false">
      <c r="A6" s="60" t="s">
        <v>270</v>
      </c>
      <c r="B6" s="61" t="s">
        <v>271</v>
      </c>
      <c r="C6" s="62" t="n">
        <f aca="false">SRC_MOD_005</f>
        <v>284</v>
      </c>
      <c r="D6" s="62" t="n">
        <f aca="false">SRC_MOD_001</f>
        <v>1600</v>
      </c>
      <c r="E6" s="63" t="n">
        <v>4000</v>
      </c>
      <c r="F6" s="58" t="s">
        <v>272</v>
      </c>
      <c r="G6" s="58" t="s">
        <v>273</v>
      </c>
    </row>
    <row r="7" customFormat="false" ht="15" hidden="false" customHeight="false" outlineLevel="0" collapsed="false">
      <c r="A7" s="60" t="s">
        <v>274</v>
      </c>
      <c r="B7" s="61" t="s">
        <v>271</v>
      </c>
      <c r="C7" s="62" t="n">
        <f aca="false">SRC_MOD_006</f>
        <v>13</v>
      </c>
      <c r="D7" s="62" t="n">
        <f aca="false">SRC_MOD_002</f>
        <v>49</v>
      </c>
      <c r="E7" s="63" t="n">
        <v>180</v>
      </c>
      <c r="F7" s="58" t="s">
        <v>272</v>
      </c>
      <c r="G7" s="58" t="s">
        <v>275</v>
      </c>
    </row>
    <row r="8" customFormat="false" ht="15" hidden="false" customHeight="false" outlineLevel="0" collapsed="false">
      <c r="A8" s="60" t="s">
        <v>276</v>
      </c>
      <c r="B8" s="60" t="s">
        <v>277</v>
      </c>
      <c r="C8" s="62" t="n">
        <f aca="false">SRC_MOD_007</f>
        <v>43</v>
      </c>
      <c r="D8" s="62" t="n">
        <f aca="false">SRC_MOD_003</f>
        <v>61</v>
      </c>
      <c r="E8" s="63" t="n">
        <v>100</v>
      </c>
      <c r="F8" s="58" t="s">
        <v>272</v>
      </c>
      <c r="G8" s="58" t="s">
        <v>278</v>
      </c>
    </row>
    <row r="9" customFormat="false" ht="15" hidden="false" customHeight="false" outlineLevel="0" collapsed="false">
      <c r="A9" s="61" t="s">
        <v>279</v>
      </c>
      <c r="B9" s="60"/>
      <c r="C9" s="62" t="n">
        <f aca="false">SRC_MOD_052</f>
        <v>4096</v>
      </c>
      <c r="D9" s="62" t="n">
        <f aca="false">SRC_MOD_004</f>
        <v>7168</v>
      </c>
      <c r="E9" s="63" t="n">
        <v>12288</v>
      </c>
      <c r="F9" s="58" t="s">
        <v>272</v>
      </c>
      <c r="G9" s="58" t="s">
        <v>280</v>
      </c>
    </row>
    <row r="10" customFormat="false" ht="15" hidden="false" customHeight="false" outlineLevel="0" collapsed="false">
      <c r="A10" s="61" t="s">
        <v>281</v>
      </c>
      <c r="B10" s="60"/>
      <c r="C10" s="62" t="n">
        <f aca="false">SRC_MOD_053</f>
        <v>64</v>
      </c>
      <c r="D10" s="62" t="n">
        <f aca="false">SRC_MOD_008</f>
        <v>128</v>
      </c>
      <c r="E10" s="63" t="n">
        <v>96</v>
      </c>
      <c r="F10" s="58" t="s">
        <v>272</v>
      </c>
      <c r="G10" s="58" t="s">
        <v>282</v>
      </c>
    </row>
    <row r="11" customFormat="false" ht="15" hidden="false" customHeight="false" outlineLevel="0" collapsed="false">
      <c r="A11" s="61" t="s">
        <v>283</v>
      </c>
      <c r="B11" s="60"/>
      <c r="C11" s="62" t="n">
        <f aca="false">SRC_MOD_009</f>
        <v>512</v>
      </c>
      <c r="D11" s="62" t="n">
        <f aca="false">SRC_MOD_009</f>
        <v>512</v>
      </c>
      <c r="E11" s="63" t="n">
        <v>128</v>
      </c>
      <c r="F11" s="58" t="s">
        <v>272</v>
      </c>
      <c r="G11" s="58" t="s">
        <v>284</v>
      </c>
    </row>
    <row r="12" customFormat="false" ht="15" hidden="false" customHeight="false" outlineLevel="0" collapsed="false">
      <c r="A12" s="61" t="s">
        <v>285</v>
      </c>
      <c r="B12" s="60"/>
      <c r="C12" s="62" t="n">
        <f aca="false">SRC_MOD_010</f>
        <v>256</v>
      </c>
      <c r="D12" s="62" t="n">
        <f aca="false">SRC_MOD_011</f>
        <v>384</v>
      </c>
      <c r="E12" s="63" t="n">
        <v>512</v>
      </c>
      <c r="F12" s="58" t="s">
        <v>272</v>
      </c>
      <c r="G12" s="58"/>
    </row>
    <row r="13" customFormat="false" ht="15" hidden="false" customHeight="false" outlineLevel="0" collapsed="false">
      <c r="A13" s="60" t="s">
        <v>286</v>
      </c>
      <c r="B13" s="60"/>
      <c r="C13" s="62" t="n">
        <f aca="false">SRC_MOD_012</f>
        <v>6</v>
      </c>
      <c r="D13" s="62" t="n">
        <f aca="false">SRC_MOD_012</f>
        <v>6</v>
      </c>
      <c r="E13" s="63" t="n">
        <v>16</v>
      </c>
      <c r="F13" s="58" t="s">
        <v>272</v>
      </c>
      <c r="G13" s="58"/>
    </row>
    <row r="14" customFormat="false" ht="15" hidden="false" customHeight="false" outlineLevel="0" collapsed="false">
      <c r="A14" s="61" t="s">
        <v>287</v>
      </c>
      <c r="B14" s="60"/>
      <c r="C14" s="62" t="n">
        <f aca="false">SRC_MOD_013</f>
        <v>1</v>
      </c>
      <c r="D14" s="62" t="n">
        <f aca="false">SRC_MOD_013</f>
        <v>1</v>
      </c>
      <c r="E14" s="63" t="n">
        <v>1</v>
      </c>
      <c r="F14" s="58" t="s">
        <v>135</v>
      </c>
      <c r="G14" s="58"/>
    </row>
    <row r="15" customFormat="false" ht="15" hidden="false" customHeight="false" outlineLevel="0" collapsed="false">
      <c r="A15" s="61" t="s">
        <v>288</v>
      </c>
      <c r="B15" s="60"/>
      <c r="C15" s="62" t="n">
        <f aca="false">SRC_MOD_014</f>
        <v>129280</v>
      </c>
      <c r="D15" s="62" t="n">
        <f aca="false">SRC_MOD_014</f>
        <v>129280</v>
      </c>
      <c r="E15" s="63" t="n">
        <v>200000</v>
      </c>
      <c r="F15" s="58" t="s">
        <v>272</v>
      </c>
      <c r="G15" s="58"/>
    </row>
    <row r="16" customFormat="false" ht="15" hidden="false" customHeight="false" outlineLevel="0" collapsed="false">
      <c r="A16" s="60" t="s">
        <v>289</v>
      </c>
      <c r="B16" s="61" t="s">
        <v>99</v>
      </c>
      <c r="C16" s="64" t="n">
        <f aca="false">SRC_MOD_015</f>
        <v>0.512</v>
      </c>
      <c r="D16" s="64" t="n">
        <f aca="false">SRC_MOD_054</f>
        <v>0.492</v>
      </c>
      <c r="E16" s="65" t="n">
        <v>1</v>
      </c>
      <c r="F16" s="58" t="s">
        <v>272</v>
      </c>
      <c r="G16" s="58" t="s">
        <v>290</v>
      </c>
    </row>
    <row r="17" customFormat="false" ht="15" hidden="false" customHeight="false" outlineLevel="0" collapsed="false">
      <c r="A17" s="60" t="s">
        <v>291</v>
      </c>
      <c r="B17" s="61" t="s">
        <v>292</v>
      </c>
      <c r="C17" s="62" t="n">
        <f aca="false">SRC_MOD_018*SRC_MOD_019+SRC_MOD_017</f>
        <v>4224</v>
      </c>
      <c r="D17" s="62" t="n">
        <f aca="false">SRC_MOD_018*SRC_MOD_019+SRC_MOD_017</f>
        <v>4224</v>
      </c>
      <c r="E17" s="63" t="n">
        <v>0</v>
      </c>
      <c r="F17" s="58" t="s">
        <v>147</v>
      </c>
      <c r="G17" s="58" t="s">
        <v>293</v>
      </c>
    </row>
    <row r="18" customFormat="false" ht="15" hidden="false" customHeight="false" outlineLevel="0" collapsed="false">
      <c r="A18" s="60" t="s">
        <v>294</v>
      </c>
      <c r="B18" s="61" t="s">
        <v>103</v>
      </c>
      <c r="C18" s="62" t="n">
        <f aca="false">SRC_MOD_016</f>
        <v>128</v>
      </c>
      <c r="D18" s="62" t="n">
        <f aca="false">SRC_MOD_016</f>
        <v>128</v>
      </c>
      <c r="E18" s="63" t="n">
        <v>1</v>
      </c>
      <c r="F18" s="58" t="s">
        <v>135</v>
      </c>
      <c r="G18" s="58" t="s">
        <v>295</v>
      </c>
    </row>
    <row r="19" customFormat="false" ht="15" hidden="false" customHeight="false" outlineLevel="0" collapsed="false">
      <c r="A19" s="60" t="s">
        <v>296</v>
      </c>
      <c r="B19" s="61" t="s">
        <v>292</v>
      </c>
      <c r="C19" s="62" t="n">
        <f aca="false">SRC_MOD_017</f>
        <v>128</v>
      </c>
      <c r="D19" s="62" t="n">
        <f aca="false">SRC_MOD_017</f>
        <v>128</v>
      </c>
      <c r="E19" s="63" t="n">
        <v>0</v>
      </c>
      <c r="F19" s="58" t="s">
        <v>135</v>
      </c>
      <c r="G19" s="58"/>
    </row>
    <row r="20" customFormat="false" ht="15" hidden="false" customHeight="false" outlineLevel="0" collapsed="false">
      <c r="A20" s="61" t="s">
        <v>297</v>
      </c>
      <c r="B20" s="60" t="s">
        <v>95</v>
      </c>
      <c r="E20" s="66" t="n">
        <v>2</v>
      </c>
      <c r="F20" s="58" t="s">
        <v>92</v>
      </c>
      <c r="G20" s="58" t="s">
        <v>298</v>
      </c>
    </row>
    <row r="21" customFormat="false" ht="15" hidden="false" customHeight="false" outlineLevel="0" collapsed="false">
      <c r="A21" s="61" t="s">
        <v>299</v>
      </c>
      <c r="B21" s="61" t="s">
        <v>271</v>
      </c>
      <c r="C21" s="67" t="n">
        <f aca="false">C34*C8</f>
        <v>2795</v>
      </c>
      <c r="D21" s="67" t="n">
        <f aca="false">D34*D8</f>
        <v>3965</v>
      </c>
      <c r="E21" s="67" t="n">
        <f aca="false">E36*E35*E8*$C$38</f>
        <v>14976</v>
      </c>
      <c r="F21" s="58" t="s">
        <v>300</v>
      </c>
      <c r="G21" s="58" t="s">
        <v>301</v>
      </c>
    </row>
    <row r="22" customFormat="false" ht="15" hidden="false" customHeight="false" outlineLevel="0" collapsed="false">
      <c r="A22" s="61" t="s">
        <v>302</v>
      </c>
      <c r="B22" s="61" t="s">
        <v>271</v>
      </c>
      <c r="C22" s="67" t="n">
        <f aca="false">C34*C8</f>
        <v>2795</v>
      </c>
      <c r="D22" s="67" t="n">
        <f aca="false">D34*D8</f>
        <v>3965</v>
      </c>
      <c r="E22" s="67" t="n">
        <f aca="false">E35*E8*$C$38</f>
        <v>57600</v>
      </c>
      <c r="F22" s="58" t="s">
        <v>300</v>
      </c>
      <c r="G22" s="58" t="s">
        <v>303</v>
      </c>
    </row>
    <row r="23" customFormat="false" ht="15" hidden="false" customHeight="false" outlineLevel="0" collapsed="false">
      <c r="A23" s="61" t="s">
        <v>304</v>
      </c>
      <c r="B23" s="61" t="s">
        <v>271</v>
      </c>
      <c r="C23" s="67" t="n">
        <f aca="false">C34*C8</f>
        <v>2795</v>
      </c>
      <c r="D23" s="67" t="n">
        <f aca="false">D34*D8</f>
        <v>3965</v>
      </c>
      <c r="E23" s="67" t="n">
        <f aca="false">E37*E11*2*E8*$C$38</f>
        <v>204800</v>
      </c>
      <c r="F23" s="58" t="s">
        <v>300</v>
      </c>
      <c r="G23" s="58" t="s">
        <v>305</v>
      </c>
    </row>
    <row r="24" customFormat="false" ht="15" hidden="false" customHeight="false" outlineLevel="0" collapsed="false">
      <c r="A24" s="68" t="s">
        <v>306</v>
      </c>
      <c r="B24" s="69"/>
      <c r="C24" s="69"/>
      <c r="D24" s="69"/>
      <c r="E24" s="69"/>
      <c r="F24" s="69"/>
      <c r="G24" s="69"/>
    </row>
    <row r="25" customFormat="false" ht="15" hidden="false" customHeight="false" outlineLevel="0" collapsed="false">
      <c r="A25" s="61" t="s">
        <v>307</v>
      </c>
      <c r="B25" s="61" t="s">
        <v>271</v>
      </c>
      <c r="C25" s="70" t="n">
        <f aca="false">CHOOSE(IF(C20="",1,C20),C21,C22,C23)</f>
        <v>2795</v>
      </c>
      <c r="D25" s="70" t="n">
        <f aca="false">CHOOSE(IF(D20="",1,D20),D21,D22,D23)</f>
        <v>3965</v>
      </c>
      <c r="E25" s="70" t="n">
        <f aca="false">CHOOSE(IF(E20="",1,E20),E21,E22,E23)</f>
        <v>57600</v>
      </c>
    </row>
    <row r="26" customFormat="false" ht="15" hidden="false" customHeight="false" outlineLevel="0" collapsed="false">
      <c r="A26" s="61" t="s">
        <v>308</v>
      </c>
      <c r="B26" s="61" t="s">
        <v>271</v>
      </c>
      <c r="C26" s="71" t="n">
        <f aca="false">C15*C9*2/1000000000</f>
        <v>1.05906176</v>
      </c>
      <c r="D26" s="71" t="n">
        <f aca="false">D15*D9*2/1000000000</f>
        <v>1.85335808</v>
      </c>
      <c r="E26" s="71" t="n">
        <f aca="false">E15*E9*2/1000000000</f>
        <v>4.9152</v>
      </c>
    </row>
    <row r="27" customFormat="false" ht="15" hidden="false" customHeight="false" outlineLevel="0" collapsed="false">
      <c r="A27" s="60" t="s">
        <v>309</v>
      </c>
      <c r="B27" s="61" t="s">
        <v>271</v>
      </c>
      <c r="C27" s="72" t="n">
        <f aca="false">(C6-C7)/(C8*(C12-C13))</f>
        <v>0.0252093023255814</v>
      </c>
      <c r="D27" s="72" t="n">
        <f aca="false">(D6-D7)/(D8*(D12-D13))</f>
        <v>0.0672651574290919</v>
      </c>
      <c r="E27" s="72" t="n">
        <f aca="false">(E6-E7)/(E8*(E12-E13))</f>
        <v>0.0770161290322581</v>
      </c>
      <c r="G27" s="73" t="s">
        <v>310</v>
      </c>
    </row>
    <row r="28" customFormat="false" ht="15" hidden="false" customHeight="false" outlineLevel="0" collapsed="false">
      <c r="A28" s="60" t="s">
        <v>311</v>
      </c>
      <c r="B28" s="61" t="s">
        <v>271</v>
      </c>
      <c r="C28" s="74" t="n">
        <f aca="false">C7-C8*(C13+C14)*C27</f>
        <v>5.412</v>
      </c>
      <c r="D28" s="74" t="n">
        <f aca="false">D7-D8*(D13+D14)*D27</f>
        <v>20.2777777777778</v>
      </c>
      <c r="E28" s="74" t="n">
        <f aca="false">E7-E8*(E13+E14)*E27</f>
        <v>49.0725806451613</v>
      </c>
    </row>
    <row r="29" customFormat="false" ht="15" hidden="false" customHeight="false" outlineLevel="0" collapsed="false">
      <c r="A29" s="60" t="s">
        <v>312</v>
      </c>
      <c r="B29" s="61" t="s">
        <v>271</v>
      </c>
      <c r="C29" s="74" t="n">
        <f aca="false">C6-C28</f>
        <v>278.588</v>
      </c>
      <c r="D29" s="74" t="n">
        <f aca="false">D6-D28</f>
        <v>1579.72222222222</v>
      </c>
      <c r="E29" s="74" t="n">
        <f aca="false">E6-E28</f>
        <v>3950.92741935484</v>
      </c>
    </row>
    <row r="30" customFormat="false" ht="15" hidden="false" customHeight="false" outlineLevel="0" collapsed="false">
      <c r="A30" s="60" t="s">
        <v>313</v>
      </c>
      <c r="B30" s="61" t="s">
        <v>314</v>
      </c>
      <c r="C30" s="67" t="n">
        <f aca="false">4*C10*C11*C8</f>
        <v>5636096</v>
      </c>
      <c r="D30" s="67" t="n">
        <f aca="false">4*D10*D11*D8</f>
        <v>15990784</v>
      </c>
      <c r="E30" s="67" t="n">
        <f aca="false">4*E10*E11*E8</f>
        <v>4915200</v>
      </c>
    </row>
    <row r="31" customFormat="false" ht="15" hidden="false" customHeight="false" outlineLevel="0" collapsed="false">
      <c r="A31" s="61" t="s">
        <v>315</v>
      </c>
      <c r="B31" s="61" t="s">
        <v>316</v>
      </c>
      <c r="C31" s="71" t="n">
        <f aca="false">C25*CST_CtxKV/1000000000</f>
        <v>0.35776</v>
      </c>
      <c r="D31" s="71" t="n">
        <f aca="false">D25*CST_CtxKV/1000000000</f>
        <v>0.50752</v>
      </c>
      <c r="E31" s="71" t="n">
        <f aca="false">E25*CST_CtxKV/1000000000</f>
        <v>7.3728</v>
      </c>
    </row>
    <row r="32" customFormat="false" ht="15" hidden="false" customHeight="false" outlineLevel="0" collapsed="false">
      <c r="A32" s="60" t="s">
        <v>317</v>
      </c>
      <c r="B32" s="61" t="s">
        <v>292</v>
      </c>
      <c r="C32" s="63" t="n">
        <v>128000</v>
      </c>
      <c r="F32" s="73" t="s">
        <v>318</v>
      </c>
      <c r="G32" s="73" t="s">
        <v>319</v>
      </c>
    </row>
    <row r="33" customFormat="false" ht="15" hidden="false" customHeight="false" outlineLevel="0" collapsed="false">
      <c r="A33" s="75" t="s">
        <v>320</v>
      </c>
      <c r="B33" s="69"/>
      <c r="C33" s="69"/>
      <c r="D33" s="69"/>
      <c r="E33" s="69"/>
      <c r="F33" s="69"/>
      <c r="G33" s="69"/>
    </row>
    <row r="34" customFormat="false" ht="15" hidden="false" customHeight="false" outlineLevel="0" collapsed="false">
      <c r="A34" s="60" t="s">
        <v>321</v>
      </c>
      <c r="B34" s="61" t="s">
        <v>271</v>
      </c>
      <c r="C34" s="63" t="n">
        <v>65</v>
      </c>
      <c r="D34" s="63" t="n">
        <v>65</v>
      </c>
      <c r="F34" s="58" t="s">
        <v>100</v>
      </c>
      <c r="G34" s="58" t="s">
        <v>322</v>
      </c>
    </row>
    <row r="35" customFormat="false" ht="15" hidden="false" customHeight="false" outlineLevel="0" collapsed="false">
      <c r="A35" s="61" t="s">
        <v>323</v>
      </c>
      <c r="B35" s="60" t="s">
        <v>324</v>
      </c>
      <c r="E35" s="63" t="n">
        <v>576</v>
      </c>
      <c r="F35" s="58" t="s">
        <v>104</v>
      </c>
      <c r="G35" s="73" t="s">
        <v>325</v>
      </c>
    </row>
    <row r="36" customFormat="false" ht="15" hidden="false" customHeight="false" outlineLevel="0" collapsed="false">
      <c r="A36" s="61" t="s">
        <v>326</v>
      </c>
      <c r="B36" s="61" t="s">
        <v>99</v>
      </c>
      <c r="E36" s="65" t="n">
        <v>0.26</v>
      </c>
      <c r="F36" s="58" t="s">
        <v>100</v>
      </c>
      <c r="G36" s="73" t="s">
        <v>327</v>
      </c>
    </row>
    <row r="37" customFormat="false" ht="15" hidden="false" customHeight="false" outlineLevel="0" collapsed="false">
      <c r="A37" s="61" t="s">
        <v>328</v>
      </c>
      <c r="B37" s="60" t="s">
        <v>329</v>
      </c>
      <c r="E37" s="63" t="n">
        <v>8</v>
      </c>
      <c r="F37" s="58" t="s">
        <v>100</v>
      </c>
      <c r="G37" s="58" t="s">
        <v>330</v>
      </c>
    </row>
    <row r="38" customFormat="false" ht="15" hidden="false" customHeight="false" outlineLevel="0" collapsed="false">
      <c r="A38" s="61" t="s">
        <v>331</v>
      </c>
      <c r="B38" s="61" t="s">
        <v>271</v>
      </c>
      <c r="C38" s="62" t="n">
        <f aca="false">SRC_HW_055</f>
        <v>1</v>
      </c>
      <c r="F38" s="73" t="s">
        <v>332</v>
      </c>
      <c r="G38" s="58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7" t="s">
        <v>334</v>
      </c>
    </row>
    <row r="2" customFormat="false" ht="15" hidden="false" customHeight="false" outlineLevel="0" collapsed="false">
      <c r="A2" s="73" t="s">
        <v>335</v>
      </c>
    </row>
    <row r="4" customFormat="false" ht="15" hidden="false" customHeight="false" outlineLevel="0" collapsed="false">
      <c r="A4" s="59" t="s">
        <v>336</v>
      </c>
      <c r="B4" s="59" t="s">
        <v>83</v>
      </c>
      <c r="C4" s="59" t="s">
        <v>337</v>
      </c>
      <c r="D4" s="59" t="s">
        <v>87</v>
      </c>
      <c r="E4" s="59"/>
      <c r="F4" s="59" t="s">
        <v>338</v>
      </c>
    </row>
    <row r="5" customFormat="false" ht="15" hidden="false" customHeight="false" outlineLevel="0" collapsed="false">
      <c r="A5" s="60" t="s">
        <v>339</v>
      </c>
      <c r="B5" s="60"/>
      <c r="C5" s="60" t="s">
        <v>340</v>
      </c>
      <c r="D5" s="58" t="s">
        <v>92</v>
      </c>
      <c r="F5" s="58" t="s">
        <v>341</v>
      </c>
    </row>
    <row r="6" customFormat="false" ht="15" hidden="false" customHeight="false" outlineLevel="0" collapsed="false">
      <c r="A6" s="61" t="s">
        <v>342</v>
      </c>
      <c r="B6" s="61" t="s">
        <v>292</v>
      </c>
      <c r="C6" s="66" t="n">
        <v>3</v>
      </c>
      <c r="D6" s="58" t="s">
        <v>104</v>
      </c>
      <c r="F6" s="58" t="s">
        <v>343</v>
      </c>
    </row>
    <row r="7" customFormat="false" ht="15" hidden="false" customHeight="false" outlineLevel="0" collapsed="false">
      <c r="A7" s="60" t="s">
        <v>344</v>
      </c>
      <c r="B7" s="61" t="s">
        <v>99</v>
      </c>
      <c r="C7" s="64" t="n">
        <f aca="false">SRC_PERF_005</f>
        <v>0.7</v>
      </c>
      <c r="D7" s="58" t="s">
        <v>345</v>
      </c>
      <c r="F7" s="58" t="s">
        <v>346</v>
      </c>
    </row>
    <row r="8" customFormat="false" ht="15" hidden="false" customHeight="false" outlineLevel="0" collapsed="false">
      <c r="A8" s="60" t="s">
        <v>347</v>
      </c>
      <c r="B8" s="61" t="s">
        <v>292</v>
      </c>
      <c r="C8" s="76" t="n">
        <f aca="false">(1-C7^(C6+1))/(1-C7)</f>
        <v>2.533</v>
      </c>
      <c r="D8" s="58" t="s">
        <v>147</v>
      </c>
      <c r="F8" s="58" t="s">
        <v>348</v>
      </c>
    </row>
    <row r="9" customFormat="false" ht="15" hidden="false" customHeight="false" outlineLevel="0" collapsed="false">
      <c r="A9" s="61" t="s">
        <v>349</v>
      </c>
      <c r="B9" s="61" t="s">
        <v>99</v>
      </c>
      <c r="C9" s="65" t="n">
        <v>0.1</v>
      </c>
      <c r="D9" s="58" t="s">
        <v>100</v>
      </c>
      <c r="F9" s="73" t="s">
        <v>350</v>
      </c>
    </row>
    <row r="10" customFormat="false" ht="15" hidden="false" customHeight="false" outlineLevel="0" collapsed="false">
      <c r="A10" s="60" t="s">
        <v>351</v>
      </c>
      <c r="B10" s="61" t="s">
        <v>99</v>
      </c>
      <c r="C10" s="65" t="n">
        <v>0.2</v>
      </c>
      <c r="D10" s="58" t="s">
        <v>100</v>
      </c>
      <c r="F10" s="73" t="s">
        <v>352</v>
      </c>
    </row>
    <row r="11" customFormat="false" ht="15" hidden="false" customHeight="false" outlineLevel="0" collapsed="false">
      <c r="A11" s="60" t="s">
        <v>353</v>
      </c>
      <c r="B11" s="61" t="s">
        <v>99</v>
      </c>
      <c r="C11" s="65" t="n">
        <v>0.4</v>
      </c>
      <c r="D11" s="58" t="s">
        <v>100</v>
      </c>
      <c r="F11" s="73" t="s">
        <v>354</v>
      </c>
    </row>
    <row r="12" customFormat="false" ht="15" hidden="false" customHeight="false" outlineLevel="0" collapsed="false">
      <c r="A12" s="61" t="s">
        <v>355</v>
      </c>
      <c r="B12" s="61" t="s">
        <v>271</v>
      </c>
      <c r="C12" s="77" t="n">
        <v>3</v>
      </c>
      <c r="D12" s="58" t="s">
        <v>104</v>
      </c>
      <c r="F12" s="58" t="s">
        <v>356</v>
      </c>
    </row>
    <row r="13" customFormat="false" ht="15" hidden="false" customHeight="false" outlineLevel="0" collapsed="false">
      <c r="A13" s="61" t="s">
        <v>357</v>
      </c>
      <c r="B13" s="61" t="s">
        <v>99</v>
      </c>
      <c r="C13" s="65" t="n">
        <v>0.7</v>
      </c>
      <c r="D13" s="58" t="s">
        <v>104</v>
      </c>
      <c r="F13" s="73" t="s">
        <v>358</v>
      </c>
    </row>
    <row r="14" customFormat="false" ht="15" hidden="false" customHeight="false" outlineLevel="0" collapsed="false">
      <c r="A14" s="61" t="s">
        <v>359</v>
      </c>
      <c r="B14" s="61" t="s">
        <v>99</v>
      </c>
      <c r="C14" s="65" t="n">
        <v>0.7</v>
      </c>
      <c r="D14" s="58" t="s">
        <v>104</v>
      </c>
      <c r="F14" s="73" t="s">
        <v>358</v>
      </c>
    </row>
    <row r="15" customFormat="false" ht="15" hidden="false" customHeight="false" outlineLevel="0" collapsed="false">
      <c r="A15" s="60" t="s">
        <v>360</v>
      </c>
      <c r="B15" s="61" t="s">
        <v>361</v>
      </c>
      <c r="C15" s="78" t="n">
        <v>0.1</v>
      </c>
      <c r="D15" s="58" t="s">
        <v>100</v>
      </c>
      <c r="F15" s="73" t="s">
        <v>362</v>
      </c>
    </row>
    <row r="16" customFormat="false" ht="15" hidden="false" customHeight="false" outlineLevel="0" collapsed="false">
      <c r="A16" s="60" t="s">
        <v>363</v>
      </c>
      <c r="B16" s="60" t="s">
        <v>95</v>
      </c>
      <c r="C16" s="66" t="n">
        <v>1</v>
      </c>
      <c r="D16" s="58" t="s">
        <v>92</v>
      </c>
      <c r="F16" s="58" t="s">
        <v>364</v>
      </c>
    </row>
    <row r="17" customFormat="false" ht="15" hidden="false" customHeight="false" outlineLevel="0" collapsed="false">
      <c r="A17" s="60" t="s">
        <v>365</v>
      </c>
      <c r="B17" s="61" t="s">
        <v>99</v>
      </c>
      <c r="C17" s="79" t="n">
        <v>0.6</v>
      </c>
      <c r="D17" s="58" t="s">
        <v>100</v>
      </c>
      <c r="F17" s="58" t="s">
        <v>366</v>
      </c>
    </row>
    <row r="18" customFormat="false" ht="15" hidden="false" customHeight="false" outlineLevel="0" collapsed="false">
      <c r="A18" s="60" t="s">
        <v>367</v>
      </c>
      <c r="B18" s="61" t="s">
        <v>103</v>
      </c>
      <c r="C18" s="80" t="n">
        <v>1</v>
      </c>
      <c r="D18" s="58" t="s">
        <v>100</v>
      </c>
      <c r="F18" s="73" t="s">
        <v>368</v>
      </c>
    </row>
    <row r="19" customFormat="false" ht="15" hidden="false" customHeight="false" outlineLevel="0" collapsed="false">
      <c r="A19" s="68" t="s">
        <v>369</v>
      </c>
      <c r="B19" s="69"/>
      <c r="C19" s="69"/>
      <c r="D19" s="69"/>
      <c r="E19" s="69"/>
      <c r="F19" s="69"/>
    </row>
    <row r="20" customFormat="false" ht="15" hidden="false" customHeight="false" outlineLevel="0" collapsed="false">
      <c r="A20" s="59" t="s">
        <v>370</v>
      </c>
      <c r="B20" s="59" t="s">
        <v>83</v>
      </c>
      <c r="C20" s="81" t="str">
        <f aca="false">Arch!C4</f>
        <v>Luna（低層）</v>
      </c>
      <c r="D20" s="81" t="str">
        <f aca="false">Arch!D4</f>
        <v>Sol（中層）</v>
      </c>
      <c r="E20" s="81" t="str">
        <f aca="false">Arch!E4</f>
        <v>Astra（頂層）</v>
      </c>
      <c r="F20" s="59" t="s">
        <v>338</v>
      </c>
    </row>
    <row r="21" customFormat="false" ht="15" hidden="false" customHeight="false" outlineLevel="0" collapsed="false">
      <c r="A21" s="61" t="s">
        <v>371</v>
      </c>
      <c r="B21" s="61" t="s">
        <v>372</v>
      </c>
      <c r="C21" s="62" t="n">
        <f aca="false">SRC_PERF_018</f>
        <v>120</v>
      </c>
      <c r="D21" s="82" t="n">
        <v>65</v>
      </c>
      <c r="E21" s="82" t="n">
        <v>55</v>
      </c>
      <c r="F21" s="58" t="s">
        <v>373</v>
      </c>
    </row>
    <row r="22" customFormat="false" ht="15" hidden="false" customHeight="false" outlineLevel="0" collapsed="false">
      <c r="A22" s="61" t="s">
        <v>374</v>
      </c>
      <c r="B22" s="61" t="s">
        <v>375</v>
      </c>
      <c r="C22" s="77" t="n">
        <v>2</v>
      </c>
      <c r="D22" s="77" t="n">
        <v>3</v>
      </c>
      <c r="E22" s="77" t="n">
        <v>5</v>
      </c>
      <c r="F22" s="58" t="s">
        <v>100</v>
      </c>
    </row>
    <row r="23" customFormat="false" ht="15" hidden="false" customHeight="false" outlineLevel="0" collapsed="false">
      <c r="A23" s="60" t="s">
        <v>376</v>
      </c>
      <c r="B23" s="61" t="s">
        <v>292</v>
      </c>
      <c r="C23" s="63" t="n">
        <v>8192</v>
      </c>
      <c r="D23" s="63" t="n">
        <v>16384</v>
      </c>
      <c r="E23" s="63" t="n">
        <v>32768</v>
      </c>
      <c r="F23" s="58" t="s">
        <v>377</v>
      </c>
    </row>
    <row r="24" customFormat="false" ht="15" hidden="false" customHeight="false" outlineLevel="0" collapsed="false">
      <c r="A24" s="60" t="s">
        <v>378</v>
      </c>
      <c r="B24" s="61" t="s">
        <v>292</v>
      </c>
      <c r="C24" s="63" t="n">
        <v>1024</v>
      </c>
      <c r="D24" s="63" t="n">
        <v>2048</v>
      </c>
      <c r="E24" s="63" t="n">
        <v>4096</v>
      </c>
      <c r="F24" s="58" t="s">
        <v>100</v>
      </c>
    </row>
    <row r="25" customFormat="false" ht="15" hidden="false" customHeight="false" outlineLevel="0" collapsed="false">
      <c r="A25" s="61" t="s">
        <v>379</v>
      </c>
      <c r="B25" s="61" t="s">
        <v>292</v>
      </c>
      <c r="C25" s="67" t="n">
        <f aca="false">C23+C24/2</f>
        <v>8704</v>
      </c>
      <c r="D25" s="67" t="n">
        <f aca="false">D23+D24/2</f>
        <v>17408</v>
      </c>
      <c r="E25" s="67" t="n">
        <f aca="false">E23+E24/2</f>
        <v>34816</v>
      </c>
      <c r="F25" s="58" t="s">
        <v>147</v>
      </c>
    </row>
    <row r="26" customFormat="false" ht="15" hidden="false" customHeight="false" outlineLevel="0" collapsed="false">
      <c r="A26" s="61" t="s">
        <v>380</v>
      </c>
      <c r="B26" s="61" t="s">
        <v>292</v>
      </c>
      <c r="C26" s="67" t="n">
        <f aca="false">C23/2</f>
        <v>4096</v>
      </c>
      <c r="D26" s="67" t="n">
        <f aca="false">D23/2</f>
        <v>8192</v>
      </c>
      <c r="E26" s="67" t="n">
        <f aca="false">E23/2</f>
        <v>16384</v>
      </c>
      <c r="F26" s="58" t="s">
        <v>147</v>
      </c>
    </row>
    <row r="28" customFormat="false" ht="15" hidden="false" customHeight="false" outlineLevel="0" collapsed="false">
      <c r="A28" s="60" t="s">
        <v>381</v>
      </c>
      <c r="B28" s="61" t="s">
        <v>103</v>
      </c>
      <c r="C28" s="80" t="n">
        <v>0.85</v>
      </c>
      <c r="D28" s="58" t="s">
        <v>100</v>
      </c>
      <c r="F28" s="58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7" t="s">
        <v>383</v>
      </c>
    </row>
    <row r="2" customFormat="false" ht="15" hidden="false" customHeight="false" outlineLevel="0" collapsed="false">
      <c r="A2" s="73" t="s">
        <v>384</v>
      </c>
    </row>
    <row r="4" customFormat="false" ht="30" hidden="false" customHeight="true" outlineLevel="0" collapsed="false">
      <c r="A4" s="59" t="s">
        <v>82</v>
      </c>
      <c r="B4" s="59" t="s">
        <v>83</v>
      </c>
      <c r="C4" s="83" t="s">
        <v>385</v>
      </c>
      <c r="D4" s="83" t="s">
        <v>386</v>
      </c>
      <c r="E4" s="83" t="s">
        <v>387</v>
      </c>
      <c r="F4" s="83" t="s">
        <v>388</v>
      </c>
      <c r="G4" s="84" t="s">
        <v>389</v>
      </c>
      <c r="H4" s="59" t="s">
        <v>338</v>
      </c>
    </row>
    <row r="5" customFormat="false" ht="15" hidden="false" customHeight="false" outlineLevel="0" collapsed="false">
      <c r="A5" s="60" t="s">
        <v>390</v>
      </c>
      <c r="B5" s="60" t="s">
        <v>391</v>
      </c>
      <c r="C5" s="63" t="n">
        <v>1</v>
      </c>
      <c r="D5" s="63" t="n">
        <v>1</v>
      </c>
      <c r="E5" s="63" t="n">
        <v>4</v>
      </c>
      <c r="F5" s="63" t="n">
        <v>4</v>
      </c>
      <c r="G5" s="63" t="n">
        <v>30</v>
      </c>
      <c r="H5" s="58" t="s">
        <v>392</v>
      </c>
    </row>
    <row r="6" customFormat="false" ht="15" hidden="false" customHeight="false" outlineLevel="0" collapsed="false">
      <c r="A6" s="60" t="s">
        <v>393</v>
      </c>
      <c r="B6" s="61" t="s">
        <v>292</v>
      </c>
      <c r="C6" s="63" t="n">
        <v>2000</v>
      </c>
      <c r="D6" s="63" t="n">
        <v>2000</v>
      </c>
      <c r="E6" s="63" t="n">
        <v>3000</v>
      </c>
      <c r="F6" s="63" t="n">
        <v>3000</v>
      </c>
      <c r="G6" s="63" t="n">
        <v>12000</v>
      </c>
      <c r="H6" s="58" t="s">
        <v>100</v>
      </c>
    </row>
    <row r="7" customFormat="false" ht="15" hidden="false" customHeight="false" outlineLevel="0" collapsed="false">
      <c r="A7" s="60" t="s">
        <v>394</v>
      </c>
      <c r="B7" s="61" t="s">
        <v>292</v>
      </c>
      <c r="C7" s="63" t="n">
        <v>500</v>
      </c>
      <c r="D7" s="63" t="n">
        <v>500</v>
      </c>
      <c r="E7" s="63" t="n">
        <v>1200</v>
      </c>
      <c r="F7" s="63" t="n">
        <v>1200</v>
      </c>
      <c r="G7" s="63" t="n">
        <v>2000</v>
      </c>
      <c r="H7" s="58" t="s">
        <v>100</v>
      </c>
    </row>
    <row r="8" customFormat="false" ht="15" hidden="false" customHeight="false" outlineLevel="0" collapsed="false">
      <c r="A8" s="60" t="s">
        <v>395</v>
      </c>
      <c r="B8" s="61" t="s">
        <v>292</v>
      </c>
      <c r="C8" s="63" t="n">
        <v>0</v>
      </c>
      <c r="D8" s="63" t="n">
        <v>3000</v>
      </c>
      <c r="E8" s="63" t="n">
        <v>400</v>
      </c>
      <c r="F8" s="63" t="n">
        <v>400</v>
      </c>
      <c r="G8" s="63" t="n">
        <v>600</v>
      </c>
      <c r="H8" s="58" t="s">
        <v>396</v>
      </c>
    </row>
    <row r="9" customFormat="false" ht="15" hidden="false" customHeight="false" outlineLevel="0" collapsed="false">
      <c r="A9" s="60" t="s">
        <v>397</v>
      </c>
      <c r="B9" s="61" t="s">
        <v>292</v>
      </c>
      <c r="C9" s="63" t="n">
        <v>500</v>
      </c>
      <c r="D9" s="63" t="n">
        <v>700</v>
      </c>
      <c r="E9" s="63" t="n">
        <v>200</v>
      </c>
      <c r="F9" s="63" t="n">
        <v>200</v>
      </c>
      <c r="G9" s="63" t="n">
        <v>400</v>
      </c>
      <c r="H9" s="58" t="s">
        <v>100</v>
      </c>
    </row>
    <row r="10" customFormat="false" ht="15" hidden="false" customHeight="false" outlineLevel="0" collapsed="false">
      <c r="A10" s="60" t="s">
        <v>398</v>
      </c>
      <c r="B10" s="61" t="s">
        <v>99</v>
      </c>
      <c r="C10" s="65" t="n">
        <v>0</v>
      </c>
      <c r="D10" s="65" t="n">
        <v>0</v>
      </c>
      <c r="E10" s="65" t="n">
        <v>0</v>
      </c>
      <c r="F10" s="65" t="n">
        <v>0</v>
      </c>
      <c r="G10" s="65" t="n">
        <v>0</v>
      </c>
      <c r="H10" s="58" t="s">
        <v>399</v>
      </c>
    </row>
    <row r="11" customFormat="false" ht="15" hidden="false" customHeight="false" outlineLevel="0" collapsed="false">
      <c r="A11" s="60" t="s">
        <v>400</v>
      </c>
      <c r="B11" s="61" t="s">
        <v>99</v>
      </c>
      <c r="C11" s="65" t="n">
        <v>0.5</v>
      </c>
      <c r="D11" s="65" t="n">
        <v>0.5</v>
      </c>
      <c r="E11" s="65" t="n">
        <v>0.9</v>
      </c>
      <c r="F11" s="65" t="n">
        <v>0.9</v>
      </c>
      <c r="G11" s="65" t="n">
        <v>0.9</v>
      </c>
      <c r="H11" s="58" t="s">
        <v>401</v>
      </c>
    </row>
    <row r="12" customFormat="false" ht="15" hidden="false" customHeight="false" outlineLevel="0" collapsed="false">
      <c r="A12" s="60" t="s">
        <v>402</v>
      </c>
      <c r="B12" s="60" t="s">
        <v>329</v>
      </c>
      <c r="C12" s="66" t="n">
        <v>0</v>
      </c>
      <c r="D12" s="66" t="n">
        <v>0</v>
      </c>
      <c r="E12" s="66" t="n">
        <v>0</v>
      </c>
      <c r="F12" s="66" t="n">
        <v>3</v>
      </c>
      <c r="G12" s="66" t="n">
        <v>0</v>
      </c>
      <c r="H12" s="58" t="s">
        <v>403</v>
      </c>
    </row>
    <row r="13" customFormat="false" ht="15" hidden="false" customHeight="false" outlineLevel="0" collapsed="false">
      <c r="A13" s="61" t="s">
        <v>404</v>
      </c>
      <c r="B13" s="61" t="s">
        <v>103</v>
      </c>
      <c r="C13" s="78" t="n">
        <v>1</v>
      </c>
      <c r="D13" s="78" t="n">
        <v>1</v>
      </c>
      <c r="E13" s="78" t="n">
        <v>1</v>
      </c>
      <c r="F13" s="78" t="n">
        <v>1</v>
      </c>
      <c r="G13" s="78" t="n">
        <v>1</v>
      </c>
      <c r="H13" s="58" t="s">
        <v>405</v>
      </c>
    </row>
    <row r="14" customFormat="false" ht="15" hidden="false" customHeight="false" outlineLevel="0" collapsed="false">
      <c r="A14" s="60" t="s">
        <v>406</v>
      </c>
      <c r="B14" s="61" t="s">
        <v>103</v>
      </c>
      <c r="C14" s="78" t="n">
        <v>1</v>
      </c>
      <c r="D14" s="78" t="n">
        <v>1</v>
      </c>
      <c r="E14" s="78" t="n">
        <v>1</v>
      </c>
      <c r="F14" s="78" t="n">
        <v>1</v>
      </c>
      <c r="G14" s="78" t="n">
        <v>1</v>
      </c>
      <c r="H14" s="73" t="s">
        <v>407</v>
      </c>
    </row>
    <row r="16" customFormat="false" ht="15" hidden="false" customHeight="false" outlineLevel="0" collapsed="false">
      <c r="A16" s="68" t="s">
        <v>408</v>
      </c>
      <c r="B16" s="69"/>
      <c r="C16" s="69"/>
      <c r="D16" s="69"/>
      <c r="E16" s="69"/>
      <c r="F16" s="69"/>
      <c r="G16" s="69"/>
      <c r="H16" s="69"/>
    </row>
    <row r="17" customFormat="false" ht="15" hidden="false" customHeight="false" outlineLevel="0" collapsed="false">
      <c r="A17" s="61" t="s">
        <v>409</v>
      </c>
      <c r="B17" s="61" t="s">
        <v>103</v>
      </c>
      <c r="C17" s="76" t="n">
        <f aca="false">B5_W</f>
        <v>0</v>
      </c>
      <c r="D17" s="76" t="n">
        <f aca="false">B5_W</f>
        <v>0</v>
      </c>
      <c r="E17" s="76" t="n">
        <f aca="false">B5_W</f>
        <v>0</v>
      </c>
      <c r="F17" s="76" t="n">
        <f aca="false">B5_W</f>
        <v>0</v>
      </c>
      <c r="G17" s="76" t="n">
        <f aca="false">B5_W</f>
        <v>0</v>
      </c>
    </row>
    <row r="18" customFormat="false" ht="15" hidden="false" customHeight="false" outlineLevel="0" collapsed="false">
      <c r="A18" s="60" t="s">
        <v>410</v>
      </c>
      <c r="B18" s="60" t="s">
        <v>391</v>
      </c>
      <c r="C18" s="74" t="n">
        <f aca="false">C5*(1+B5_W*(INDEX(B5_SelT,1,1)-1))</f>
        <v>1</v>
      </c>
      <c r="D18" s="74" t="n">
        <f aca="false">D5*(1+B5_W*(INDEX(B5_SelT,1,2)-1))</f>
        <v>1</v>
      </c>
      <c r="E18" s="74" t="n">
        <f aca="false">E5*(1+B5_W*(INDEX(B5_SelT,1,3)-1))</f>
        <v>4</v>
      </c>
      <c r="F18" s="74" t="n">
        <f aca="false">F5*(1+B5_W*(INDEX(B5_SelT,1,4)-1))</f>
        <v>4</v>
      </c>
      <c r="G18" s="74" t="n">
        <f aca="false">G5*(1+B5_W*(INDEX(B5_SelT,1,5)-1))</f>
        <v>30</v>
      </c>
    </row>
    <row r="19" customFormat="false" ht="15" hidden="false" customHeight="false" outlineLevel="0" collapsed="false">
      <c r="A19" s="60" t="s">
        <v>411</v>
      </c>
      <c r="B19" s="61" t="s">
        <v>292</v>
      </c>
      <c r="C19" s="67" t="n">
        <f aca="false">C8*(1+B5_W*(INDEX(B5_SelH,1,1)-1))</f>
        <v>0</v>
      </c>
      <c r="D19" s="67" t="n">
        <f aca="false">D8*(1+B5_W*(INDEX(B5_SelH,1,2)-1))</f>
        <v>3000</v>
      </c>
      <c r="E19" s="67" t="n">
        <f aca="false">E8*(1+B5_W*(INDEX(B5_SelH,1,3)-1))</f>
        <v>400</v>
      </c>
      <c r="F19" s="67" t="n">
        <f aca="false">F8*(1+B5_W*(INDEX(B5_SelH,1,4)-1))</f>
        <v>400</v>
      </c>
      <c r="G19" s="67" t="n">
        <f aca="false">G8*(1+B5_W*(INDEX(B5_SelH,1,5)-1))</f>
        <v>600</v>
      </c>
    </row>
    <row r="20" customFormat="false" ht="15" hidden="false" customHeight="false" outlineLevel="0" collapsed="false">
      <c r="A20" s="60" t="s">
        <v>412</v>
      </c>
      <c r="B20" s="61" t="s">
        <v>99</v>
      </c>
      <c r="C20" s="85" t="n">
        <f aca="false">C10+B5_W*(INDEX(B5_Selrho,1,1)-C10)</f>
        <v>0</v>
      </c>
      <c r="D20" s="85" t="n">
        <f aca="false">D10+B5_W*(INDEX(B5_Selrho,1,2)-D10)</f>
        <v>0</v>
      </c>
      <c r="E20" s="85" t="n">
        <f aca="false">E10+B5_W*(INDEX(B5_Selrho,1,3)-E10)</f>
        <v>0</v>
      </c>
      <c r="F20" s="85" t="n">
        <f aca="false">F10+B5_W*(INDEX(B5_Selrho,1,4)-F10)</f>
        <v>0</v>
      </c>
      <c r="G20" s="85" t="n">
        <f aca="false">G10+B5_W*(INDEX(B5_Selrho,1,5)-G10)</f>
        <v>0</v>
      </c>
    </row>
    <row r="21" customFormat="false" ht="15" hidden="false" customHeight="false" outlineLevel="0" collapsed="false">
      <c r="A21" s="60" t="s">
        <v>413</v>
      </c>
      <c r="B21" s="61" t="s">
        <v>99</v>
      </c>
      <c r="C21" s="85" t="n">
        <f aca="false">MIN(1,MAX(0,C11+B5_W*INDEX(B5_SelDChi,1,1)))</f>
        <v>0.5</v>
      </c>
      <c r="D21" s="85" t="n">
        <f aca="false">MIN(1,MAX(0,D11+B5_W*INDEX(B5_SelDChi,1,2)))</f>
        <v>0.5</v>
      </c>
      <c r="E21" s="85" t="n">
        <f aca="false">MIN(1,MAX(0,E11+B5_W*INDEX(B5_SelDChi,1,3)))</f>
        <v>0.9</v>
      </c>
      <c r="F21" s="85" t="n">
        <f aca="false">MIN(1,MAX(0,F11+B5_W*INDEX(B5_SelDChi,1,4)))</f>
        <v>0.9</v>
      </c>
      <c r="G21" s="85" t="n">
        <f aca="false">MIN(1,MAX(0,G11+B5_W*INDEX(B5_SelDChi,1,5)))</f>
        <v>0.9</v>
      </c>
    </row>
    <row r="22" customFormat="false" ht="15" hidden="false" customHeight="false" outlineLevel="0" collapsed="false">
      <c r="A22" s="60" t="s">
        <v>414</v>
      </c>
      <c r="B22" s="60" t="s">
        <v>329</v>
      </c>
      <c r="C22" s="86" t="n">
        <f aca="false">C12+B5_W*INDEX(B5_SelDM,1,1)</f>
        <v>0</v>
      </c>
      <c r="D22" s="86" t="n">
        <f aca="false">D12+B5_W*INDEX(B5_SelDM,1,2)</f>
        <v>0</v>
      </c>
      <c r="E22" s="86" t="n">
        <f aca="false">E12+B5_W*INDEX(B5_SelDM,1,3)</f>
        <v>0</v>
      </c>
      <c r="F22" s="86" t="n">
        <f aca="false">F12+B5_W*INDEX(B5_SelDM,1,4)</f>
        <v>3</v>
      </c>
      <c r="G22" s="86" t="n">
        <f aca="false">G12+B5_W*INDEX(B5_SelDM,1,5)</f>
        <v>0</v>
      </c>
    </row>
    <row r="23" customFormat="false" ht="15" hidden="false" customHeight="false" outlineLevel="0" collapsed="false">
      <c r="A23" s="60" t="s">
        <v>415</v>
      </c>
      <c r="B23" s="61" t="s">
        <v>103</v>
      </c>
      <c r="C23" s="76" t="n">
        <f aca="false">C14+B5_W*(INDEX(B5_SelC,1,1)-C14)</f>
        <v>1</v>
      </c>
      <c r="D23" s="76" t="n">
        <f aca="false">D14+B5_W*(INDEX(B5_SelC,1,2)-D14)</f>
        <v>1</v>
      </c>
      <c r="E23" s="76" t="n">
        <f aca="false">E14+B5_W*(INDEX(B5_SelC,1,3)-E14)</f>
        <v>1</v>
      </c>
      <c r="F23" s="76" t="n">
        <f aca="false">F14+B5_W*(INDEX(B5_SelC,1,4)-F14)</f>
        <v>1</v>
      </c>
      <c r="G23" s="76" t="n">
        <f aca="false">G14+B5_W*(INDEX(B5_SelC,1,5)-G14)</f>
        <v>1</v>
      </c>
    </row>
    <row r="25" customFormat="false" ht="15" hidden="false" customHeight="false" outlineLevel="0" collapsed="false">
      <c r="A25" s="68" t="s">
        <v>416</v>
      </c>
      <c r="B25" s="69"/>
      <c r="C25" s="69"/>
      <c r="D25" s="69"/>
      <c r="E25" s="69"/>
      <c r="F25" s="69"/>
      <c r="G25" s="69"/>
      <c r="H25" s="69"/>
    </row>
    <row r="26" customFormat="false" ht="15" hidden="false" customHeight="false" outlineLevel="0" collapsed="false">
      <c r="A26" s="60" t="s">
        <v>417</v>
      </c>
      <c r="B26" s="61" t="s">
        <v>292</v>
      </c>
      <c r="C26" s="67" t="n">
        <f aca="false">C7+C9+C20*C19</f>
        <v>1000</v>
      </c>
      <c r="D26" s="67" t="n">
        <f aca="false">D7+D9+D20*D19</f>
        <v>1200</v>
      </c>
      <c r="E26" s="67" t="n">
        <f aca="false">E7+E9+E20*E19</f>
        <v>1400</v>
      </c>
      <c r="F26" s="67" t="n">
        <f aca="false">F7+F9+F20*F19</f>
        <v>1400</v>
      </c>
      <c r="G26" s="67" t="n">
        <f aca="false">G7+G9+G20*G19</f>
        <v>2400</v>
      </c>
    </row>
    <row r="27" customFormat="false" ht="15" hidden="false" customHeight="false" outlineLevel="0" collapsed="false">
      <c r="A27" s="60" t="s">
        <v>418</v>
      </c>
      <c r="B27" s="61" t="s">
        <v>292</v>
      </c>
      <c r="C27" s="67" t="n">
        <f aca="false">C18*(C6+C7)+C23*C26*C18*(C18-1)/2</f>
        <v>2500</v>
      </c>
      <c r="D27" s="67" t="n">
        <f aca="false">D18*(D6+D7)+D23*D26*D18*(D18-1)/2</f>
        <v>2500</v>
      </c>
      <c r="E27" s="67" t="n">
        <f aca="false">E18*(E6+E7)+E23*E26*E18*(E18-1)/2</f>
        <v>25200</v>
      </c>
      <c r="F27" s="67" t="n">
        <f aca="false">F18*(F6+F7)+F23*F26*F18*(F18-1)/2</f>
        <v>25200</v>
      </c>
      <c r="G27" s="67" t="n">
        <f aca="false">G18*(G6+G7)+G23*G26*G18*(G18-1)/2</f>
        <v>1464000</v>
      </c>
    </row>
    <row r="28" customFormat="false" ht="15" hidden="false" customHeight="false" outlineLevel="0" collapsed="false">
      <c r="A28" s="60" t="s">
        <v>419</v>
      </c>
      <c r="B28" s="61" t="s">
        <v>292</v>
      </c>
      <c r="C28" s="67" t="n">
        <f aca="false">C21*(C18*C6+C23*C26*C18*(C18-1)/2)</f>
        <v>1000</v>
      </c>
      <c r="D28" s="67" t="n">
        <f aca="false">D21*(D18*D6+D23*D26*D18*(D18-1)/2)</f>
        <v>1000</v>
      </c>
      <c r="E28" s="67" t="n">
        <f aca="false">E21*(E18*E6+E23*E26*E18*(E18-1)/2)</f>
        <v>18360</v>
      </c>
      <c r="F28" s="67" t="n">
        <f aca="false">F21*(F18*F6+F23*F26*F18*(F18-1)/2)</f>
        <v>18360</v>
      </c>
      <c r="G28" s="67" t="n">
        <f aca="false">G21*(G18*G6+G23*G26*G18*(G18-1)/2)</f>
        <v>1263600</v>
      </c>
    </row>
    <row r="29" customFormat="false" ht="15" hidden="false" customHeight="false" outlineLevel="0" collapsed="false">
      <c r="A29" s="60" t="s">
        <v>420</v>
      </c>
      <c r="B29" s="61" t="s">
        <v>292</v>
      </c>
      <c r="C29" s="67" t="n">
        <f aca="false">C27-C28</f>
        <v>1500</v>
      </c>
      <c r="D29" s="67" t="n">
        <f aca="false">D27-D28</f>
        <v>1500</v>
      </c>
      <c r="E29" s="67" t="n">
        <f aca="false">E27-E28</f>
        <v>6840</v>
      </c>
      <c r="F29" s="67" t="n">
        <f aca="false">F27-F28</f>
        <v>6840</v>
      </c>
      <c r="G29" s="67" t="n">
        <f aca="false">G27-G28</f>
        <v>200400</v>
      </c>
    </row>
    <row r="30" customFormat="false" ht="15" hidden="false" customHeight="false" outlineLevel="0" collapsed="false">
      <c r="A30" s="60" t="s">
        <v>421</v>
      </c>
      <c r="B30" s="61" t="s">
        <v>292</v>
      </c>
      <c r="C30" s="67" t="n">
        <f aca="false">C18*(C19+C9)</f>
        <v>500</v>
      </c>
      <c r="D30" s="67" t="n">
        <f aca="false">D18*(D19+D9)</f>
        <v>3700</v>
      </c>
      <c r="E30" s="67" t="n">
        <f aca="false">E18*(E19+E9)</f>
        <v>2400</v>
      </c>
      <c r="F30" s="67" t="n">
        <f aca="false">F18*(F19+F9)</f>
        <v>2400</v>
      </c>
      <c r="G30" s="67" t="n">
        <f aca="false">G18*(G19+G9)</f>
        <v>30000</v>
      </c>
    </row>
    <row r="31" customFormat="false" ht="15" hidden="false" customHeight="false" outlineLevel="0" collapsed="false">
      <c r="A31" s="60" t="s">
        <v>422</v>
      </c>
      <c r="B31" s="61" t="s">
        <v>103</v>
      </c>
      <c r="C31" s="76" t="n">
        <f aca="false">(1+C22)*C13</f>
        <v>1</v>
      </c>
      <c r="D31" s="76" t="n">
        <f aca="false">(1+D22)*D13</f>
        <v>1</v>
      </c>
      <c r="E31" s="76" t="n">
        <f aca="false">(1+E22)*E13</f>
        <v>1</v>
      </c>
      <c r="F31" s="76" t="n">
        <f aca="false">(1+F22)*F13</f>
        <v>4</v>
      </c>
      <c r="G31" s="76" t="n">
        <f aca="false">(1+G22)*G13</f>
        <v>1</v>
      </c>
    </row>
    <row r="32" customFormat="false" ht="15" hidden="false" customHeight="false" outlineLevel="0" collapsed="false">
      <c r="A32" s="60" t="s">
        <v>423</v>
      </c>
      <c r="B32" s="61" t="s">
        <v>292</v>
      </c>
      <c r="C32" s="67" t="n">
        <f aca="false">C29*C31</f>
        <v>1500</v>
      </c>
      <c r="D32" s="67" t="n">
        <f aca="false">D29*D31</f>
        <v>1500</v>
      </c>
      <c r="E32" s="67" t="n">
        <f aca="false">E29*E31</f>
        <v>6840</v>
      </c>
      <c r="F32" s="67" t="n">
        <f aca="false">F29*F31</f>
        <v>27360</v>
      </c>
      <c r="G32" s="67" t="n">
        <f aca="false">G29*G31</f>
        <v>200400</v>
      </c>
    </row>
    <row r="33" customFormat="false" ht="15" hidden="false" customHeight="false" outlineLevel="0" collapsed="false">
      <c r="A33" s="60" t="s">
        <v>424</v>
      </c>
      <c r="B33" s="61" t="s">
        <v>292</v>
      </c>
      <c r="C33" s="67" t="n">
        <f aca="false">C28*C31</f>
        <v>1000</v>
      </c>
      <c r="D33" s="67" t="n">
        <f aca="false">D28*D31</f>
        <v>1000</v>
      </c>
      <c r="E33" s="67" t="n">
        <f aca="false">E28*E31</f>
        <v>18360</v>
      </c>
      <c r="F33" s="67" t="n">
        <f aca="false">F28*F31</f>
        <v>73440</v>
      </c>
      <c r="G33" s="67" t="n">
        <f aca="false">G28*G31</f>
        <v>1263600</v>
      </c>
    </row>
    <row r="34" customFormat="false" ht="15" hidden="false" customHeight="false" outlineLevel="0" collapsed="false">
      <c r="A34" s="60" t="s">
        <v>425</v>
      </c>
      <c r="B34" s="61" t="s">
        <v>292</v>
      </c>
      <c r="C34" s="67" t="n">
        <f aca="false">C30*C31</f>
        <v>500</v>
      </c>
      <c r="D34" s="67" t="n">
        <f aca="false">D30*D31</f>
        <v>3700</v>
      </c>
      <c r="E34" s="67" t="n">
        <f aca="false">E30*E31</f>
        <v>2400</v>
      </c>
      <c r="F34" s="67" t="n">
        <f aca="false">F30*F31</f>
        <v>9600</v>
      </c>
      <c r="G34" s="67" t="n">
        <f aca="false">G30*G31</f>
        <v>30000</v>
      </c>
    </row>
    <row r="35" customFormat="false" ht="15" hidden="false" customHeight="false" outlineLevel="0" collapsed="false">
      <c r="A35" s="60" t="s">
        <v>426</v>
      </c>
      <c r="B35" s="61" t="s">
        <v>292</v>
      </c>
      <c r="C35" s="70" t="n">
        <f aca="false">C32+C33+C34</f>
        <v>3000</v>
      </c>
      <c r="D35" s="70" t="n">
        <f aca="false">D32+D33+D34</f>
        <v>6200</v>
      </c>
      <c r="E35" s="70" t="n">
        <f aca="false">E32+E33+E34</f>
        <v>27600</v>
      </c>
      <c r="F35" s="70" t="n">
        <f aca="false">F32+F33+F34</f>
        <v>110400</v>
      </c>
      <c r="G35" s="70" t="n">
        <f aca="false">G32+G33+G34</f>
        <v>1494000</v>
      </c>
    </row>
    <row r="36" customFormat="false" ht="26.85" hidden="false" customHeight="false" outlineLevel="0" collapsed="false">
      <c r="A36" s="61" t="s">
        <v>379</v>
      </c>
      <c r="B36" s="61" t="s">
        <v>292</v>
      </c>
      <c r="C36" s="67" t="n">
        <f aca="false">C6+C7+(C18-1)/2*C23*C26+(C19+C9)/2</f>
        <v>2750</v>
      </c>
      <c r="D36" s="67" t="n">
        <f aca="false">D6+D7+(D18-1)/2*D23*D26+(D19+D9)/2</f>
        <v>4350</v>
      </c>
      <c r="E36" s="67" t="n">
        <f aca="false">E6+E7+(E18-1)/2*E23*E26+(E19+E9)/2</f>
        <v>6600</v>
      </c>
      <c r="F36" s="67" t="n">
        <f aca="false">F6+F7+(F18-1)/2*F23*F26+(F19+F9)/2</f>
        <v>6600</v>
      </c>
      <c r="G36" s="67" t="n">
        <f aca="false">G6+G7+(G18-1)/2*G23*G26+(G19+G9)/2</f>
        <v>49300</v>
      </c>
      <c r="H36" s="87" t="s">
        <v>427</v>
      </c>
    </row>
    <row r="37" customFormat="false" ht="15" hidden="false" customHeight="false" outlineLevel="0" collapsed="false">
      <c r="A37" s="60" t="s">
        <v>428</v>
      </c>
      <c r="B37" s="61" t="s">
        <v>99</v>
      </c>
      <c r="C37" s="85" t="n">
        <f aca="false">IF(C19+C9&gt;0,C19/(C19+C9),0)</f>
        <v>0</v>
      </c>
      <c r="D37" s="85" t="n">
        <f aca="false">IF(D19+D9&gt;0,D19/(D19+D9),0)</f>
        <v>0.810810810810811</v>
      </c>
      <c r="E37" s="85" t="n">
        <f aca="false">IF(E19+E9&gt;0,E19/(E19+E9),0)</f>
        <v>0.666666666666667</v>
      </c>
      <c r="F37" s="85" t="n">
        <f aca="false">IF(F19+F9&gt;0,F19/(F19+F9),0)</f>
        <v>0.666666666666667</v>
      </c>
      <c r="G37" s="85" t="n">
        <f aca="false">IF(G19+G9&gt;0,G19/(G19+G9),0)</f>
        <v>0.6</v>
      </c>
    </row>
    <row r="38" customFormat="false" ht="15" hidden="false" customHeight="false" outlineLevel="0" collapsed="false">
      <c r="A38" s="60" t="s">
        <v>429</v>
      </c>
      <c r="B38" s="61" t="s">
        <v>103</v>
      </c>
      <c r="C38" s="88" t="n">
        <f aca="false">C35/$C$35</f>
        <v>1</v>
      </c>
      <c r="D38" s="88" t="n">
        <f aca="false">D35/$C$35</f>
        <v>2.06666666666667</v>
      </c>
      <c r="E38" s="88" t="n">
        <f aca="false">E35/$C$35</f>
        <v>9.2</v>
      </c>
      <c r="F38" s="88" t="n">
        <f aca="false">F35/$C$35</f>
        <v>36.8</v>
      </c>
      <c r="G38" s="88" t="n">
        <f aca="false">G35/$C$35</f>
        <v>498</v>
      </c>
    </row>
    <row r="39" customFormat="false" ht="15" hidden="false" customHeight="false" outlineLevel="0" collapsed="false">
      <c r="A39" s="60" t="s">
        <v>430</v>
      </c>
      <c r="B39" s="61" t="s">
        <v>103</v>
      </c>
      <c r="C39" s="86" t="n">
        <f aca="false">C35/$D$35</f>
        <v>0.483870967741936</v>
      </c>
      <c r="D39" s="86" t="n">
        <f aca="false">D35/$D$35</f>
        <v>1</v>
      </c>
      <c r="E39" s="86" t="n">
        <f aca="false">E35/$D$35</f>
        <v>4.45161290322581</v>
      </c>
      <c r="F39" s="86" t="n">
        <f aca="false">F35/$D$35</f>
        <v>17.8064516129032</v>
      </c>
      <c r="G39" s="86" t="n">
        <f aca="false">G35/$D$35</f>
        <v>240.967741935484</v>
      </c>
    </row>
    <row r="40" customFormat="false" ht="39.55" hidden="false" customHeight="false" outlineLevel="0" collapsed="false">
      <c r="A40" s="60" t="s">
        <v>431</v>
      </c>
      <c r="B40" s="61" t="s">
        <v>103</v>
      </c>
      <c r="C40" s="66" t="n">
        <v>1</v>
      </c>
      <c r="E40" s="89" t="n">
        <f aca="false">SRC_HAR_001</f>
        <v>4</v>
      </c>
      <c r="F40" s="89" t="n">
        <f aca="false">SRC_HAR_002</f>
        <v>15</v>
      </c>
      <c r="H40" s="87" t="s">
        <v>432</v>
      </c>
    </row>
    <row r="42" customFormat="false" ht="15" hidden="false" customHeight="false" outlineLevel="0" collapsed="false">
      <c r="A42" s="68" t="s">
        <v>433</v>
      </c>
      <c r="B42" s="69"/>
      <c r="C42" s="69"/>
      <c r="D42" s="69"/>
      <c r="E42" s="69"/>
      <c r="F42" s="69"/>
      <c r="G42" s="69"/>
      <c r="H42" s="69"/>
    </row>
    <row r="43" customFormat="false" ht="15" hidden="false" customHeight="false" outlineLevel="0" collapsed="false">
      <c r="A43" s="61" t="s">
        <v>434</v>
      </c>
      <c r="B43" s="61" t="s">
        <v>435</v>
      </c>
      <c r="C43" s="90" t="n">
        <f aca="false">IF(ISNUMBER(Unit_Cost!M21),(C32*Unit_Cost!M19+C33*Unit_Cost!M20+C34*Unit_Cost!M21)/1000000,"SLO 不可達")</f>
        <v>9.8538689173237E-005</v>
      </c>
      <c r="D43" s="90" t="n">
        <f aca="false">IF(ISNUMBER(Unit_Cost!M21),(D32*Unit_Cost!M19+D33*Unit_Cost!M20+D34*Unit_Cost!M21)/1000000,"SLO 不可達")</f>
        <v>0.000651320665503275</v>
      </c>
      <c r="E43" s="90" t="n">
        <f aca="false">IF(ISNUMBER(Unit_Cost!M21),(E32*Unit_Cost!M19+E33*Unit_Cost!M20+E34*Unit_Cost!M21)/1000000,"SLO 不可達")</f>
        <v>0.000470919960787972</v>
      </c>
      <c r="F43" s="90" t="n">
        <f aca="false">IF(ISNUMBER(Unit_Cost!M21),(F32*Unit_Cost!M19+F33*Unit_Cost!M20+F34*Unit_Cost!M21)/1000000,"SLO 不可達")</f>
        <v>0.00188367984315189</v>
      </c>
      <c r="G43" s="90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61" t="s">
        <v>436</v>
      </c>
      <c r="B44" s="61" t="s">
        <v>435</v>
      </c>
      <c r="C44" s="91" t="n">
        <f aca="false">IF(ISNUMBER(Unit_Cost!M34),(C32*Unit_Cost!M32+C33*Unit_Cost!M33+C34*Unit_Cost!M34)/1000000,"SLO 不可達")</f>
        <v>0.00031648037535442</v>
      </c>
      <c r="D44" s="91" t="n">
        <f aca="false">IF(ISNUMBER(Unit_Cost!M34),(D32*Unit_Cost!M32+D33*Unit_Cost!M33+D34*Unit_Cost!M34)/1000000,"SLO 不可達")</f>
        <v>0.00207251237042349</v>
      </c>
      <c r="E44" s="91" t="n">
        <f aca="false">IF(ISNUMBER(Unit_Cost!M34),(E32*Unit_Cost!M32+E33*Unit_Cost!M33+E34*Unit_Cost!M34)/1000000,"SLO 不可達")</f>
        <v>0.00151021350344947</v>
      </c>
      <c r="F44" s="91" t="n">
        <f aca="false">IF(ISNUMBER(Unit_Cost!M34),(F32*Unit_Cost!M32+F33*Unit_Cost!M33+F34*Unit_Cost!M34)/1000000,"SLO 不可達")</f>
        <v>0.00604085401379789</v>
      </c>
      <c r="G44" s="91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61" t="s">
        <v>437</v>
      </c>
      <c r="B45" s="61" t="s">
        <v>435</v>
      </c>
      <c r="C45" s="90" t="n">
        <f aca="false">IF(ISNUMBER(Unit_Cost!M47),(C32*Unit_Cost!M45+C33*Unit_Cost!M46+C34*Unit_Cost!M47)/1000000,"SLO 不可達")</f>
        <v>0.00156094879295085</v>
      </c>
      <c r="D45" s="90" t="n">
        <f aca="false">IF(ISNUMBER(Unit_Cost!M47),(D32*Unit_Cost!M45+D33*Unit_Cost!M46+D34*Unit_Cost!M47)/1000000,"SLO 不可達")</f>
        <v>0.0106508590102868</v>
      </c>
      <c r="E45" s="90" t="n">
        <f aca="false">IF(ISNUMBER(Unit_Cost!M47),(E32*Unit_Cost!M45+E33*Unit_Cost!M46+E34*Unit_Cost!M47)/1000000,"SLO 不可達")</f>
        <v>0.00747640196765662</v>
      </c>
      <c r="F45" s="90" t="n">
        <f aca="false">IF(ISNUMBER(Unit_Cost!M47),(F32*Unit_Cost!M45+F33*Unit_Cost!M46+F34*Unit_Cost!M47)/1000000,"SLO 不可達")</f>
        <v>0.0299056078706265</v>
      </c>
      <c r="G45" s="90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61" t="s">
        <v>438</v>
      </c>
      <c r="B46" s="61" t="s">
        <v>435</v>
      </c>
      <c r="C46" s="90" t="n">
        <f aca="false">IF(ISNUMBER(Unit_Cost!J21),(C32*Unit_Cost!J19+C33*Unit_Cost!J20+C34*Unit_Cost!J21)/1000000,"SLO 不可達")</f>
        <v>0.000129712932742897</v>
      </c>
      <c r="D46" s="90" t="n">
        <f aca="false">IF(ISNUMBER(Unit_Cost!J21),(D32*Unit_Cost!J19+D33*Unit_Cost!J20+D34*Unit_Cost!J21)/1000000,"SLO 不可達")</f>
        <v>0.000863238771035986</v>
      </c>
      <c r="E46" s="90" t="n">
        <f aca="false">IF(ISNUMBER(Unit_Cost!J21),(E32*Unit_Cost!J19+E33*Unit_Cost!J20+E34*Unit_Cost!J21)/1000000,"SLO 不可達")</f>
        <v>0.000619453863540048</v>
      </c>
      <c r="F46" s="90" t="n">
        <f aca="false">IF(ISNUMBER(Unit_Cost!J21),(F32*Unit_Cost!J19+F33*Unit_Cost!J20+F34*Unit_Cost!J21)/1000000,"SLO 不可達")</f>
        <v>0.00247781545416019</v>
      </c>
      <c r="G46" s="90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61" t="s">
        <v>439</v>
      </c>
      <c r="B47" s="61" t="s">
        <v>435</v>
      </c>
      <c r="C47" s="91" t="n">
        <f aca="false">IF(ISNUMBER(Unit_Cost!J34),(C32*Unit_Cost!J32+C33*Unit_Cost!J33+C34*Unit_Cost!J34)/1000000,"SLO 不可達")</f>
        <v>0.00045149057977531</v>
      </c>
      <c r="D47" s="91" t="n">
        <f aca="false">IF(ISNUMBER(Unit_Cost!J34),(D32*Unit_Cost!J32+D33*Unit_Cost!J33+D34*Unit_Cost!J34)/1000000,"SLO 不可達")</f>
        <v>0.00300605731345547</v>
      </c>
      <c r="E47" s="91" t="n">
        <f aca="false">IF(ISNUMBER(Unit_Cost!J34),(E32*Unit_Cost!J32+E33*Unit_Cost!J33+E34*Unit_Cost!J34)/1000000,"SLO 不可達")</f>
        <v>0.00215523971370896</v>
      </c>
      <c r="F47" s="91" t="n">
        <f aca="false">IF(ISNUMBER(Unit_Cost!J34),(F32*Unit_Cost!J32+F33*Unit_Cost!J33+F34*Unit_Cost!J34)/1000000,"SLO 不可達")</f>
        <v>0.00862095885483583</v>
      </c>
      <c r="G47" s="91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61" t="s">
        <v>440</v>
      </c>
      <c r="B48" s="61" t="s">
        <v>435</v>
      </c>
      <c r="C48" s="90" t="n">
        <f aca="false">IF(ISNUMBER(Unit_Cost!J47),(C32*Unit_Cost!J45+C33*Unit_Cost!J46+C34*Unit_Cost!J47)/1000000,"SLO 不可達")</f>
        <v>0.00308067082073616</v>
      </c>
      <c r="D48" s="90" t="n">
        <f aca="false">IF(ISNUMBER(Unit_Cost!J47),(D32*Unit_Cost!J45+D33*Unit_Cost!J46+D34*Unit_Cost!J47)/1000000,"SLO 不可達")</f>
        <v>0.0216823466796112</v>
      </c>
      <c r="E48" s="90" t="n">
        <f aca="false">IF(ISNUMBER(Unit_Cost!J47),(E32*Unit_Cost!J45+E33*Unit_Cost!J46+E34*Unit_Cost!J47)/1000000,"SLO 不可達")</f>
        <v>0.0147548123656816</v>
      </c>
      <c r="F48" s="90" t="n">
        <f aca="false">IF(ISNUMBER(Unit_Cost!J47),(F32*Unit_Cost!J45+F33*Unit_Cost!J46+F34*Unit_Cost!J47)/1000000,"SLO 不可達")</f>
        <v>0.0590192494627266</v>
      </c>
      <c r="G48" s="90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7" t="s">
        <v>441</v>
      </c>
    </row>
    <row r="2" customFormat="false" ht="15" hidden="false" customHeight="false" outlineLevel="0" collapsed="false">
      <c r="A2" s="73" t="s">
        <v>442</v>
      </c>
    </row>
    <row r="4" customFormat="false" ht="15" hidden="false" customHeight="false" outlineLevel="0" collapsed="false">
      <c r="A4" s="75" t="s">
        <v>443</v>
      </c>
      <c r="B4" s="69"/>
      <c r="C4" s="69"/>
      <c r="D4" s="69"/>
      <c r="E4" s="69"/>
      <c r="F4" s="69"/>
      <c r="G4" s="69"/>
      <c r="H4" s="69"/>
      <c r="I4" s="69"/>
      <c r="J4" s="69"/>
    </row>
    <row r="5" customFormat="false" ht="15" hidden="false" customHeight="false" outlineLevel="0" collapsed="false">
      <c r="A5" s="61" t="s">
        <v>444</v>
      </c>
      <c r="B5" s="61" t="s">
        <v>99</v>
      </c>
      <c r="C5" s="65" t="n">
        <v>0.3</v>
      </c>
      <c r="J5" s="58" t="s">
        <v>445</v>
      </c>
    </row>
    <row r="7" customFormat="false" ht="15" hidden="false" customHeight="false" outlineLevel="0" collapsed="false">
      <c r="A7" s="75" t="s">
        <v>446</v>
      </c>
      <c r="B7" s="69"/>
      <c r="C7" s="69"/>
      <c r="D7" s="69"/>
      <c r="E7" s="69"/>
      <c r="F7" s="69"/>
      <c r="G7" s="69"/>
      <c r="H7" s="69"/>
      <c r="I7" s="69"/>
      <c r="J7" s="69"/>
    </row>
    <row r="8" customFormat="false" ht="15" hidden="false" customHeight="false" outlineLevel="0" collapsed="false">
      <c r="A8" s="59" t="s">
        <v>370</v>
      </c>
      <c r="B8" s="59" t="s">
        <v>83</v>
      </c>
    </row>
    <row r="9" customFormat="false" ht="15" hidden="false" customHeight="false" outlineLevel="0" collapsed="false">
      <c r="A9" s="60" t="s">
        <v>2</v>
      </c>
      <c r="B9" s="60"/>
      <c r="C9" s="59" t="s">
        <v>447</v>
      </c>
      <c r="D9" s="59" t="s">
        <v>448</v>
      </c>
      <c r="E9" s="59" t="s">
        <v>449</v>
      </c>
      <c r="F9" s="59" t="s">
        <v>450</v>
      </c>
      <c r="G9" s="59" t="s">
        <v>450</v>
      </c>
      <c r="H9" s="59" t="s">
        <v>451</v>
      </c>
      <c r="I9" s="59" t="s">
        <v>451</v>
      </c>
    </row>
    <row r="10" customFormat="false" ht="15" hidden="false" customHeight="false" outlineLevel="0" collapsed="false">
      <c r="A10" s="60" t="s">
        <v>452</v>
      </c>
      <c r="B10" s="60"/>
      <c r="C10" s="66" t="n">
        <v>3</v>
      </c>
      <c r="D10" s="66" t="n">
        <v>3</v>
      </c>
      <c r="E10" s="66" t="n">
        <v>3</v>
      </c>
      <c r="F10" s="66" t="n">
        <v>3</v>
      </c>
      <c r="G10" s="66" t="n">
        <v>2</v>
      </c>
      <c r="H10" s="66" t="n">
        <v>2</v>
      </c>
      <c r="I10" s="66" t="n">
        <v>3</v>
      </c>
    </row>
    <row r="11" customFormat="false" ht="15" hidden="false" customHeight="false" outlineLevel="0" collapsed="false">
      <c r="A11" s="60" t="s">
        <v>171</v>
      </c>
      <c r="B11" s="60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</row>
    <row r="12" customFormat="false" ht="30" hidden="false" customHeight="true" outlineLevel="0" collapsed="false">
      <c r="A12" s="60" t="s">
        <v>453</v>
      </c>
      <c r="B12" s="60"/>
      <c r="C12" s="87" t="s">
        <v>454</v>
      </c>
      <c r="D12" s="87" t="s">
        <v>454</v>
      </c>
      <c r="E12" s="87" t="s">
        <v>455</v>
      </c>
      <c r="F12" s="87" t="s">
        <v>456</v>
      </c>
      <c r="G12" s="87" t="s">
        <v>456</v>
      </c>
      <c r="H12" s="87" t="s">
        <v>457</v>
      </c>
      <c r="I12" s="87" t="s">
        <v>457</v>
      </c>
    </row>
    <row r="13" customFormat="false" ht="15" hidden="false" customHeight="false" outlineLevel="0" collapsed="false">
      <c r="A13" s="61" t="s">
        <v>458</v>
      </c>
      <c r="B13" s="60"/>
      <c r="C13" s="89" t="n">
        <f aca="false">SRC_PERF_009_MTP</f>
        <v>1</v>
      </c>
      <c r="D13" s="89" t="n">
        <f aca="false">SRC_PERF_010_MTP</f>
        <v>1</v>
      </c>
      <c r="E13" s="89" t="n">
        <f aca="false">SRC_PERF_004_MTP</f>
        <v>1</v>
      </c>
      <c r="F13" s="89" t="n">
        <f aca="false">SRC_PERF_001_MTP</f>
        <v>0</v>
      </c>
      <c r="G13" s="89" t="n">
        <f aca="false">SRC_PERF_002_MTP</f>
        <v>0</v>
      </c>
      <c r="H13" s="89" t="n">
        <f aca="false">SRC_PERF_014_MTP</f>
        <v>1</v>
      </c>
      <c r="I13" s="89" t="n">
        <f aca="false">SRC_PERF_015_MTP</f>
        <v>1</v>
      </c>
    </row>
    <row r="14" customFormat="false" ht="15" hidden="false" customHeight="false" outlineLevel="0" collapsed="false">
      <c r="A14" s="60" t="s">
        <v>459</v>
      </c>
      <c r="B14" s="61" t="s">
        <v>372</v>
      </c>
      <c r="C14" s="62" t="n">
        <f aca="false">SRC_PERF_009_Spd</f>
        <v>72</v>
      </c>
      <c r="D14" s="62" t="n">
        <f aca="false">SRC_PERF_010_Spd</f>
        <v>130</v>
      </c>
      <c r="E14" s="62" t="n">
        <f aca="false">SRC_PERF_004_Spd</f>
        <v>50</v>
      </c>
      <c r="F14" s="62" t="n">
        <f aca="false">SRC_PERF_001_Spd</f>
        <v>27</v>
      </c>
      <c r="G14" s="62" t="n">
        <f aca="false">SRC_PERF_002_Spd</f>
        <v>27</v>
      </c>
      <c r="H14" s="62" t="n">
        <f aca="false">SRC_PERF_014_Spd</f>
        <v>110</v>
      </c>
      <c r="I14" s="62" t="n">
        <f aca="false">SRC_PERF_015_Spd</f>
        <v>110</v>
      </c>
    </row>
    <row r="15" customFormat="false" ht="15" hidden="false" customHeight="false" outlineLevel="0" collapsed="false">
      <c r="A15" s="61" t="s">
        <v>460</v>
      </c>
      <c r="B15" s="61" t="s">
        <v>292</v>
      </c>
      <c r="C15" s="62" t="n">
        <f aca="false">SRC_PERF_009_ISL</f>
        <v>8192</v>
      </c>
      <c r="D15" s="62" t="n">
        <f aca="false">SRC_PERF_010_ISL</f>
        <v>8192</v>
      </c>
      <c r="E15" s="62" t="n">
        <f aca="false">SRC_PERF_004_ISL</f>
        <v>8192</v>
      </c>
      <c r="F15" s="62" t="n">
        <f aca="false">SRC_PERF_001_ISL</f>
        <v>8192</v>
      </c>
      <c r="G15" s="62" t="n">
        <f aca="false">SRC_PERF_002_ISL</f>
        <v>8192</v>
      </c>
      <c r="H15" s="62" t="n">
        <f aca="false">SRC_PERF_014_ISL</f>
        <v>8192</v>
      </c>
      <c r="I15" s="62" t="n">
        <f aca="false">SRC_PERF_015_ISL</f>
        <v>8192</v>
      </c>
    </row>
    <row r="16" customFormat="false" ht="15" hidden="false" customHeight="false" outlineLevel="0" collapsed="false">
      <c r="A16" s="61" t="s">
        <v>461</v>
      </c>
      <c r="B16" s="61" t="s">
        <v>292</v>
      </c>
      <c r="C16" s="62" t="n">
        <f aca="false">SRC_PERF_009_OSL</f>
        <v>1024</v>
      </c>
      <c r="D16" s="62" t="n">
        <f aca="false">SRC_PERF_010_OSL</f>
        <v>1024</v>
      </c>
      <c r="E16" s="62" t="n">
        <f aca="false">SRC_PERF_004_OSL</f>
        <v>1024</v>
      </c>
      <c r="F16" s="62" t="n">
        <f aca="false">SRC_PERF_001_OSL</f>
        <v>1024</v>
      </c>
      <c r="G16" s="62" t="n">
        <f aca="false">SRC_PERF_002_OSL</f>
        <v>1024</v>
      </c>
      <c r="H16" s="62" t="n">
        <f aca="false">SRC_PERF_014_OSL</f>
        <v>1024</v>
      </c>
      <c r="I16" s="62" t="n">
        <f aca="false">SRC_PERF_015_OSL</f>
        <v>1024</v>
      </c>
    </row>
    <row r="17" customFormat="false" ht="15" hidden="false" customHeight="false" outlineLevel="0" collapsed="false">
      <c r="A17" s="60" t="s">
        <v>462</v>
      </c>
      <c r="B17" s="61" t="s">
        <v>372</v>
      </c>
      <c r="C17" s="62" t="n">
        <f aca="false">SRC_PERF_009</f>
        <v>9342.1</v>
      </c>
      <c r="D17" s="62" t="n">
        <f aca="false">SRC_PERF_010</f>
        <v>3405.2</v>
      </c>
      <c r="E17" s="62" t="n">
        <f aca="false">SRC_PERF_004</f>
        <v>11200</v>
      </c>
      <c r="F17" s="62" t="n">
        <f aca="false">SRC_PERF_001</f>
        <v>6182</v>
      </c>
      <c r="G17" s="62" t="n">
        <f aca="false">SRC_PERF_002</f>
        <v>2189</v>
      </c>
      <c r="H17" s="62" t="n">
        <f aca="false">SRC_PERF_014</f>
        <v>3795.5</v>
      </c>
      <c r="I17" s="62" t="n">
        <f aca="false">SRC_PERF_015</f>
        <v>6522.4</v>
      </c>
    </row>
    <row r="18" customFormat="false" ht="15" hidden="false" customHeight="false" outlineLevel="0" collapsed="false">
      <c r="A18" s="60" t="s">
        <v>463</v>
      </c>
      <c r="B18" s="60"/>
      <c r="C18" s="58" t="s">
        <v>464</v>
      </c>
      <c r="D18" s="58" t="s">
        <v>464</v>
      </c>
      <c r="E18" s="58" t="s">
        <v>465</v>
      </c>
      <c r="F18" s="58" t="s">
        <v>466</v>
      </c>
      <c r="G18" s="58" t="s">
        <v>466</v>
      </c>
      <c r="H18" s="58" t="s">
        <v>467</v>
      </c>
      <c r="I18" s="58" t="s">
        <v>467</v>
      </c>
    </row>
    <row r="19" customFormat="false" ht="26.85" hidden="false" customHeight="false" outlineLevel="0" collapsed="false">
      <c r="A19" s="60" t="s">
        <v>468</v>
      </c>
      <c r="B19" s="60"/>
      <c r="C19" s="87" t="s">
        <v>469</v>
      </c>
      <c r="D19" s="87" t="s">
        <v>469</v>
      </c>
      <c r="E19" s="87" t="s">
        <v>469</v>
      </c>
      <c r="F19" s="87" t="s">
        <v>469</v>
      </c>
      <c r="G19" s="87" t="s">
        <v>469</v>
      </c>
      <c r="H19" s="87" t="s">
        <v>469</v>
      </c>
      <c r="I19" s="87" t="s">
        <v>469</v>
      </c>
      <c r="J19" s="93" t="s">
        <v>470</v>
      </c>
    </row>
    <row r="20" customFormat="false" ht="30" hidden="false" customHeight="true" outlineLevel="0" collapsed="false">
      <c r="A20" s="60" t="s">
        <v>471</v>
      </c>
      <c r="B20" s="60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60" t="s">
        <v>472</v>
      </c>
      <c r="B21" s="60"/>
      <c r="C21" s="93" t="s">
        <v>473</v>
      </c>
      <c r="D21" s="93" t="s">
        <v>473</v>
      </c>
      <c r="E21" s="93" t="s">
        <v>473</v>
      </c>
      <c r="F21" s="93" t="s">
        <v>473</v>
      </c>
      <c r="G21" s="93" t="s">
        <v>473</v>
      </c>
      <c r="H21" s="93" t="s">
        <v>473</v>
      </c>
      <c r="I21" s="93" t="s">
        <v>473</v>
      </c>
    </row>
    <row r="22" customFormat="false" ht="15" hidden="false" customHeight="false" outlineLevel="0" collapsed="false">
      <c r="A22" s="75" t="s">
        <v>474</v>
      </c>
      <c r="B22" s="69"/>
      <c r="C22" s="69"/>
      <c r="D22" s="69"/>
      <c r="E22" s="69"/>
      <c r="F22" s="69"/>
      <c r="G22" s="69"/>
      <c r="H22" s="69"/>
      <c r="I22" s="69"/>
      <c r="J22" s="69"/>
    </row>
    <row r="23" customFormat="false" ht="15" hidden="false" customHeight="false" outlineLevel="0" collapsed="false">
      <c r="A23" s="60" t="s">
        <v>475</v>
      </c>
      <c r="B23" s="61" t="s">
        <v>476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</row>
    <row r="24" customFormat="false" ht="15" hidden="false" customHeight="false" outlineLevel="0" collapsed="false">
      <c r="A24" s="61" t="s">
        <v>477</v>
      </c>
      <c r="B24" s="61" t="s">
        <v>316</v>
      </c>
      <c r="C24" s="62" t="n">
        <f aca="false">INDEX(Spec_Rack!$C$25:$G$25,C10)</f>
        <v>288</v>
      </c>
      <c r="D24" s="62" t="n">
        <f aca="false">INDEX(Spec_Rack!$C$25:$G$25,D10)</f>
        <v>288</v>
      </c>
      <c r="E24" s="62" t="n">
        <f aca="false">INDEX(Spec_Rack!$C$25:$G$25,E10)</f>
        <v>288</v>
      </c>
      <c r="F24" s="62" t="n">
        <f aca="false">INDEX(Spec_Rack!$C$25:$G$25,F10)</f>
        <v>288</v>
      </c>
      <c r="G24" s="62" t="n">
        <f aca="false">INDEX(Spec_Rack!$C$25:$G$25,G10)</f>
        <v>186</v>
      </c>
      <c r="H24" s="62" t="n">
        <f aca="false">INDEX(Spec_Rack!$C$25:$G$25,H10)</f>
        <v>186</v>
      </c>
      <c r="I24" s="62" t="n">
        <f aca="false">INDEX(Spec_Rack!$C$25:$G$25,I10)</f>
        <v>288</v>
      </c>
    </row>
    <row r="25" customFormat="false" ht="15" hidden="false" customHeight="false" outlineLevel="0" collapsed="false">
      <c r="A25" s="61" t="s">
        <v>478</v>
      </c>
      <c r="B25" s="61" t="s">
        <v>479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</row>
    <row r="26" customFormat="false" ht="15" hidden="false" customHeight="false" outlineLevel="0" collapsed="false">
      <c r="A26" s="61" t="s">
        <v>480</v>
      </c>
      <c r="B26" s="61" t="s">
        <v>479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</row>
    <row r="27" customFormat="false" ht="15" hidden="false" customHeight="false" outlineLevel="0" collapsed="false">
      <c r="A27" s="61" t="s">
        <v>481</v>
      </c>
      <c r="B27" s="60"/>
      <c r="C27" s="62" t="n">
        <f aca="false">INDEX(Spec_Rack!$C$29:$G$29,C10)</f>
        <v>32</v>
      </c>
      <c r="D27" s="62" t="n">
        <f aca="false">INDEX(Spec_Rack!$C$29:$G$29,D10)</f>
        <v>32</v>
      </c>
      <c r="E27" s="62" t="n">
        <f aca="false">INDEX(Spec_Rack!$C$29:$G$29,E10)</f>
        <v>32</v>
      </c>
      <c r="F27" s="62" t="n">
        <f aca="false">INDEX(Spec_Rack!$C$29:$G$29,F10)</f>
        <v>32</v>
      </c>
      <c r="G27" s="62" t="n">
        <f aca="false">INDEX(Spec_Rack!$C$29:$G$29,G10)</f>
        <v>32</v>
      </c>
      <c r="H27" s="62" t="n">
        <f aca="false">INDEX(Spec_Rack!$C$29:$G$29,H10)</f>
        <v>32</v>
      </c>
      <c r="I27" s="62" t="n">
        <f aca="false">INDEX(Spec_Rack!$C$29:$G$29,I10)</f>
        <v>32</v>
      </c>
    </row>
    <row r="28" customFormat="false" ht="15" hidden="false" customHeight="false" outlineLevel="0" collapsed="false">
      <c r="A28" s="60" t="s">
        <v>482</v>
      </c>
      <c r="B28" s="61" t="s">
        <v>271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</row>
    <row r="29" customFormat="false" ht="15" hidden="false" customHeight="false" outlineLevel="0" collapsed="false">
      <c r="A29" s="60" t="s">
        <v>483</v>
      </c>
      <c r="B29" s="61" t="s">
        <v>271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</row>
    <row r="30" customFormat="false" ht="15" hidden="false" customHeight="false" outlineLevel="0" collapsed="false">
      <c r="A30" s="60" t="s">
        <v>274</v>
      </c>
      <c r="B30" s="61" t="s">
        <v>271</v>
      </c>
      <c r="C30" s="62" t="n">
        <f aca="false">Arch!$D$7</f>
        <v>49</v>
      </c>
      <c r="D30" s="62" t="n">
        <f aca="false">Arch!$D$7</f>
        <v>49</v>
      </c>
      <c r="E30" s="62" t="n">
        <f aca="false">Arch!$D$7</f>
        <v>49</v>
      </c>
      <c r="F30" s="62" t="n">
        <f aca="false">Arch!$D$7</f>
        <v>49</v>
      </c>
      <c r="G30" s="62" t="n">
        <f aca="false">Arch!$D$7</f>
        <v>49</v>
      </c>
      <c r="H30" s="62" t="n">
        <f aca="false">Arch!$D$7</f>
        <v>49</v>
      </c>
      <c r="I30" s="62" t="n">
        <f aca="false">Arch!$D$7</f>
        <v>49</v>
      </c>
    </row>
    <row r="31" customFormat="false" ht="15" hidden="false" customHeight="false" outlineLevel="0" collapsed="false">
      <c r="A31" s="60" t="s">
        <v>276</v>
      </c>
      <c r="B31" s="60"/>
      <c r="C31" s="62" t="n">
        <f aca="false">Arch!$D$8</f>
        <v>61</v>
      </c>
      <c r="D31" s="62" t="n">
        <f aca="false">Arch!$D$8</f>
        <v>61</v>
      </c>
      <c r="E31" s="62" t="n">
        <f aca="false">Arch!$D$8</f>
        <v>61</v>
      </c>
      <c r="F31" s="62" t="n">
        <f aca="false">Arch!$D$8</f>
        <v>61</v>
      </c>
      <c r="G31" s="62" t="n">
        <f aca="false">Arch!$D$8</f>
        <v>61</v>
      </c>
      <c r="H31" s="62" t="n">
        <f aca="false">Arch!$D$8</f>
        <v>61</v>
      </c>
      <c r="I31" s="62" t="n">
        <f aca="false">Arch!$D$8</f>
        <v>61</v>
      </c>
    </row>
    <row r="32" customFormat="false" ht="15" hidden="false" customHeight="false" outlineLevel="0" collapsed="false">
      <c r="A32" s="61" t="s">
        <v>279</v>
      </c>
      <c r="B32" s="60"/>
      <c r="C32" s="62" t="n">
        <f aca="false">Arch!$D$9</f>
        <v>7168</v>
      </c>
      <c r="D32" s="62" t="n">
        <f aca="false">Arch!$D$9</f>
        <v>7168</v>
      </c>
      <c r="E32" s="62" t="n">
        <f aca="false">Arch!$D$9</f>
        <v>7168</v>
      </c>
      <c r="F32" s="62" t="n">
        <f aca="false">Arch!$D$9</f>
        <v>7168</v>
      </c>
      <c r="G32" s="62" t="n">
        <f aca="false">Arch!$D$9</f>
        <v>7168</v>
      </c>
      <c r="H32" s="62" t="n">
        <f aca="false">Arch!$D$9</f>
        <v>7168</v>
      </c>
      <c r="I32" s="62" t="n">
        <f aca="false">Arch!$D$9</f>
        <v>7168</v>
      </c>
    </row>
    <row r="33" customFormat="false" ht="15" hidden="false" customHeight="false" outlineLevel="0" collapsed="false">
      <c r="A33" s="60" t="s">
        <v>484</v>
      </c>
      <c r="B33" s="60"/>
      <c r="C33" s="62" t="n">
        <f aca="false">Arch!$D$13</f>
        <v>6</v>
      </c>
      <c r="D33" s="62" t="n">
        <f aca="false">Arch!$D$13</f>
        <v>6</v>
      </c>
      <c r="E33" s="62" t="n">
        <f aca="false">Arch!$D$13</f>
        <v>6</v>
      </c>
      <c r="F33" s="62" t="n">
        <f aca="false">Arch!$D$13</f>
        <v>6</v>
      </c>
      <c r="G33" s="62" t="n">
        <f aca="false">Arch!$D$13</f>
        <v>6</v>
      </c>
      <c r="H33" s="62" t="n">
        <f aca="false">Arch!$D$13</f>
        <v>6</v>
      </c>
      <c r="I33" s="62" t="n">
        <f aca="false">Arch!$D$13</f>
        <v>6</v>
      </c>
    </row>
    <row r="34" customFormat="false" ht="15" hidden="false" customHeight="false" outlineLevel="0" collapsed="false">
      <c r="A34" s="60" t="s">
        <v>485</v>
      </c>
      <c r="B34" s="61" t="s">
        <v>271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</row>
    <row r="35" customFormat="false" ht="15" hidden="false" customHeight="false" outlineLevel="0" collapsed="false">
      <c r="A35" s="60" t="s">
        <v>312</v>
      </c>
      <c r="B35" s="61" t="s">
        <v>271</v>
      </c>
      <c r="C35" s="62" t="n">
        <f aca="false">Arch!$D$29</f>
        <v>1579.72222222222</v>
      </c>
      <c r="D35" s="62" t="n">
        <f aca="false">Arch!$D$29</f>
        <v>1579.72222222222</v>
      </c>
      <c r="E35" s="62" t="n">
        <f aca="false">Arch!$D$29</f>
        <v>1579.72222222222</v>
      </c>
      <c r="F35" s="62" t="n">
        <f aca="false">Arch!$D$29</f>
        <v>1579.72222222222</v>
      </c>
      <c r="G35" s="62" t="n">
        <f aca="false">Arch!$D$29</f>
        <v>1579.72222222222</v>
      </c>
      <c r="H35" s="62" t="n">
        <f aca="false">Arch!$D$29</f>
        <v>1579.72222222222</v>
      </c>
      <c r="I35" s="62" t="n">
        <f aca="false">Arch!$D$29</f>
        <v>1579.72222222222</v>
      </c>
    </row>
    <row r="36" customFormat="false" ht="15" hidden="false" customHeight="false" outlineLevel="0" collapsed="false">
      <c r="A36" s="61" t="s">
        <v>486</v>
      </c>
      <c r="B36" s="61" t="s">
        <v>271</v>
      </c>
      <c r="C36" s="62" t="n">
        <f aca="false">Arch!$D$25</f>
        <v>3965</v>
      </c>
      <c r="D36" s="62" t="n">
        <f aca="false">Arch!$D$25</f>
        <v>3965</v>
      </c>
      <c r="E36" s="62" t="n">
        <f aca="false">Arch!$D$25</f>
        <v>3965</v>
      </c>
      <c r="F36" s="62" t="n">
        <f aca="false">Arch!$D$25</f>
        <v>3965</v>
      </c>
      <c r="G36" s="62" t="n">
        <f aca="false">Arch!$D$25</f>
        <v>3965</v>
      </c>
      <c r="H36" s="62" t="n">
        <f aca="false">Arch!$D$25</f>
        <v>3965</v>
      </c>
      <c r="I36" s="62" t="n">
        <f aca="false">Arch!$D$25</f>
        <v>3965</v>
      </c>
    </row>
    <row r="37" customFormat="false" ht="15" hidden="false" customHeight="false" outlineLevel="0" collapsed="false">
      <c r="A37" s="60" t="s">
        <v>487</v>
      </c>
      <c r="B37" s="60"/>
      <c r="C37" s="62" t="n">
        <f aca="false">Arch!$D$30</f>
        <v>15990784</v>
      </c>
      <c r="D37" s="62" t="n">
        <f aca="false">Arch!$D$30</f>
        <v>15990784</v>
      </c>
      <c r="E37" s="62" t="n">
        <f aca="false">Arch!$D$30</f>
        <v>15990784</v>
      </c>
      <c r="F37" s="62" t="n">
        <f aca="false">Arch!$D$30</f>
        <v>15990784</v>
      </c>
      <c r="G37" s="62" t="n">
        <f aca="false">Arch!$D$30</f>
        <v>15990784</v>
      </c>
      <c r="H37" s="62" t="n">
        <f aca="false">Arch!$D$30</f>
        <v>15990784</v>
      </c>
      <c r="I37" s="62" t="n">
        <f aca="false">Arch!$D$30</f>
        <v>15990784</v>
      </c>
    </row>
    <row r="38" customFormat="false" ht="15" hidden="false" customHeight="false" outlineLevel="0" collapsed="false">
      <c r="A38" s="60" t="s">
        <v>289</v>
      </c>
      <c r="B38" s="61" t="s">
        <v>99</v>
      </c>
      <c r="C38" s="64" t="n">
        <f aca="false">Arch!$D$16</f>
        <v>0.492</v>
      </c>
      <c r="D38" s="64" t="n">
        <f aca="false">Arch!$D$16</f>
        <v>0.492</v>
      </c>
      <c r="E38" s="64" t="n">
        <f aca="false">Arch!$D$16</f>
        <v>0.492</v>
      </c>
      <c r="F38" s="64" t="n">
        <f aca="false">Arch!$D$16</f>
        <v>0.492</v>
      </c>
      <c r="G38" s="64" t="n">
        <f aca="false">Arch!$D$16</f>
        <v>0.492</v>
      </c>
      <c r="H38" s="64" t="n">
        <f aca="false">Arch!$D$16</f>
        <v>0.492</v>
      </c>
      <c r="I38" s="64" t="n">
        <f aca="false">Arch!$D$16</f>
        <v>0.492</v>
      </c>
    </row>
    <row r="39" customFormat="false" ht="15" hidden="false" customHeight="false" outlineLevel="0" collapsed="false">
      <c r="A39" s="60" t="s">
        <v>488</v>
      </c>
      <c r="B39" s="60"/>
      <c r="C39" s="62" t="n">
        <f aca="false">Arch!$D$17</f>
        <v>4224</v>
      </c>
      <c r="D39" s="62" t="n">
        <f aca="false">Arch!$D$17</f>
        <v>4224</v>
      </c>
      <c r="E39" s="62" t="n">
        <f aca="false">Arch!$D$17</f>
        <v>4224</v>
      </c>
      <c r="F39" s="62" t="n">
        <f aca="false">Arch!$D$17</f>
        <v>4224</v>
      </c>
      <c r="G39" s="62" t="n">
        <f aca="false">Arch!$D$17</f>
        <v>4224</v>
      </c>
      <c r="H39" s="62" t="n">
        <f aca="false">Arch!$D$17</f>
        <v>4224</v>
      </c>
      <c r="I39" s="62" t="n">
        <f aca="false">Arch!$D$17</f>
        <v>4224</v>
      </c>
    </row>
    <row r="40" customFormat="false" ht="15" hidden="false" customHeight="false" outlineLevel="0" collapsed="false">
      <c r="A40" s="60" t="s">
        <v>489</v>
      </c>
      <c r="B40" s="60"/>
      <c r="C40" s="62" t="n">
        <f aca="false">Arch!$D$18</f>
        <v>128</v>
      </c>
      <c r="D40" s="62" t="n">
        <f aca="false">Arch!$D$18</f>
        <v>128</v>
      </c>
      <c r="E40" s="62" t="n">
        <f aca="false">Arch!$D$18</f>
        <v>128</v>
      </c>
      <c r="F40" s="62" t="n">
        <f aca="false">Arch!$D$18</f>
        <v>128</v>
      </c>
      <c r="G40" s="62" t="n">
        <f aca="false">Arch!$D$18</f>
        <v>128</v>
      </c>
      <c r="H40" s="62" t="n">
        <f aca="false">Arch!$D$18</f>
        <v>128</v>
      </c>
      <c r="I40" s="62" t="n">
        <f aca="false">Arch!$D$18</f>
        <v>128</v>
      </c>
    </row>
    <row r="41" customFormat="false" ht="15" hidden="false" customHeight="false" outlineLevel="0" collapsed="false">
      <c r="A41" s="60" t="s">
        <v>490</v>
      </c>
      <c r="B41" s="60"/>
      <c r="C41" s="62" t="n">
        <f aca="false">Arch!$D$19</f>
        <v>128</v>
      </c>
      <c r="D41" s="62" t="n">
        <f aca="false">Arch!$D$19</f>
        <v>128</v>
      </c>
      <c r="E41" s="62" t="n">
        <f aca="false">Arch!$D$19</f>
        <v>128</v>
      </c>
      <c r="F41" s="62" t="n">
        <f aca="false">Arch!$D$19</f>
        <v>128</v>
      </c>
      <c r="G41" s="62" t="n">
        <f aca="false">Arch!$D$19</f>
        <v>128</v>
      </c>
      <c r="H41" s="62" t="n">
        <f aca="false">Arch!$D$19</f>
        <v>128</v>
      </c>
      <c r="I41" s="62" t="n">
        <f aca="false">Arch!$D$19</f>
        <v>128</v>
      </c>
    </row>
    <row r="42" customFormat="false" ht="15" hidden="false" customHeight="false" outlineLevel="0" collapsed="false">
      <c r="A42" s="61" t="s">
        <v>379</v>
      </c>
      <c r="B42" s="61" t="s">
        <v>292</v>
      </c>
      <c r="C42" s="67" t="n">
        <f aca="false">C15+C16/2</f>
        <v>8704</v>
      </c>
      <c r="D42" s="67" t="n">
        <f aca="false">D15+D16/2</f>
        <v>8704</v>
      </c>
      <c r="E42" s="67" t="n">
        <f aca="false">E15+E16/2</f>
        <v>8704</v>
      </c>
      <c r="F42" s="67" t="n">
        <f aca="false">F15+F16/2</f>
        <v>8704</v>
      </c>
      <c r="G42" s="67" t="n">
        <f aca="false">G15+G16/2</f>
        <v>8704</v>
      </c>
      <c r="H42" s="67" t="n">
        <f aca="false">H15+H16/2</f>
        <v>8704</v>
      </c>
      <c r="I42" s="67" t="n">
        <f aca="false">I15+I16/2</f>
        <v>8704</v>
      </c>
    </row>
    <row r="43" customFormat="false" ht="15" hidden="false" customHeight="false" outlineLevel="0" collapsed="false">
      <c r="A43" s="61" t="s">
        <v>491</v>
      </c>
      <c r="B43" s="61" t="s">
        <v>292</v>
      </c>
      <c r="C43" s="67" t="n">
        <f aca="false">C38*IF(C39=0,C42,MIN(C42,C39))+(1-C38)*(C42/C40+C41)</f>
        <v>2177.776</v>
      </c>
      <c r="D43" s="67" t="n">
        <f aca="false">D38*IF(D39=0,D42,MIN(D42,D39))+(1-D38)*(D42/D40+D41)</f>
        <v>2177.776</v>
      </c>
      <c r="E43" s="67" t="n">
        <f aca="false">E38*IF(E39=0,E42,MIN(E42,E39))+(1-E38)*(E42/E40+E41)</f>
        <v>2177.776</v>
      </c>
      <c r="F43" s="67" t="n">
        <f aca="false">F38*IF(F39=0,F42,MIN(F42,F39))+(1-F38)*(F42/F40+F41)</f>
        <v>2177.776</v>
      </c>
      <c r="G43" s="67" t="n">
        <f aca="false">G38*IF(G39=0,G42,MIN(G42,G39))+(1-G38)*(G42/G40+G41)</f>
        <v>2177.776</v>
      </c>
      <c r="H43" s="67" t="n">
        <f aca="false">H38*IF(H39=0,H42,MIN(H42,H39))+(1-H38)*(H42/H40+H41)</f>
        <v>2177.776</v>
      </c>
      <c r="I43" s="67" t="n">
        <f aca="false">I38*IF(I39=0,I42,MIN(I42,I39))+(1-I38)*(I42/I40+I41)</f>
        <v>2177.776</v>
      </c>
    </row>
    <row r="44" customFormat="false" ht="15" hidden="false" customHeight="false" outlineLevel="0" collapsed="false">
      <c r="A44" s="61" t="s">
        <v>492</v>
      </c>
      <c r="B44" s="61" t="s">
        <v>493</v>
      </c>
      <c r="C44" s="74" t="n">
        <f aca="false">(2*C30*1000000000+C37*C43)/1000000000</f>
        <v>132.824345616384</v>
      </c>
      <c r="D44" s="74" t="n">
        <f aca="false">(2*D30*1000000000+D37*D43)/1000000000</f>
        <v>132.824345616384</v>
      </c>
      <c r="E44" s="74" t="n">
        <f aca="false">(2*E30*1000000000+E37*E43)/1000000000</f>
        <v>132.824345616384</v>
      </c>
      <c r="F44" s="74" t="n">
        <f aca="false">(2*F30*1000000000+F37*F43)/1000000000</f>
        <v>132.824345616384</v>
      </c>
      <c r="G44" s="74" t="n">
        <f aca="false">(2*G30*1000000000+G37*G43)/1000000000</f>
        <v>132.824345616384</v>
      </c>
      <c r="H44" s="74" t="n">
        <f aca="false">(2*H30*1000000000+H37*H43)/1000000000</f>
        <v>132.824345616384</v>
      </c>
      <c r="I44" s="74" t="n">
        <f aca="false">(2*I30*1000000000+I37*I43)/1000000000</f>
        <v>132.824345616384</v>
      </c>
    </row>
    <row r="45" customFormat="false" ht="15" hidden="false" customHeight="false" outlineLevel="0" collapsed="false">
      <c r="A45" s="61" t="s">
        <v>380</v>
      </c>
      <c r="B45" s="61" t="s">
        <v>292</v>
      </c>
      <c r="C45" s="67" t="n">
        <f aca="false">C15/2</f>
        <v>4096</v>
      </c>
      <c r="D45" s="67" t="n">
        <f aca="false">D15/2</f>
        <v>4096</v>
      </c>
      <c r="E45" s="67" t="n">
        <f aca="false">E15/2</f>
        <v>4096</v>
      </c>
      <c r="F45" s="67" t="n">
        <f aca="false">F15/2</f>
        <v>4096</v>
      </c>
      <c r="G45" s="67" t="n">
        <f aca="false">G15/2</f>
        <v>4096</v>
      </c>
      <c r="H45" s="67" t="n">
        <f aca="false">H15/2</f>
        <v>4096</v>
      </c>
      <c r="I45" s="67" t="n">
        <f aca="false">I15/2</f>
        <v>4096</v>
      </c>
    </row>
    <row r="46" customFormat="false" ht="15" hidden="false" customHeight="false" outlineLevel="0" collapsed="false">
      <c r="A46" s="61" t="s">
        <v>494</v>
      </c>
      <c r="B46" s="61" t="s">
        <v>292</v>
      </c>
      <c r="C46" s="67" t="n">
        <f aca="false">C38*IF(C39=0,C45,MIN(C45,C39))+(1-C38)*(C45/C40+C41)</f>
        <v>2096.512</v>
      </c>
      <c r="D46" s="67" t="n">
        <f aca="false">D38*IF(D39=0,D45,MIN(D45,D39))+(1-D38)*(D45/D40+D41)</f>
        <v>2096.512</v>
      </c>
      <c r="E46" s="67" t="n">
        <f aca="false">E38*IF(E39=0,E45,MIN(E45,E39))+(1-E38)*(E45/E40+E41)</f>
        <v>2096.512</v>
      </c>
      <c r="F46" s="67" t="n">
        <f aca="false">F38*IF(F39=0,F45,MIN(F45,F39))+(1-F38)*(F45/F40+F41)</f>
        <v>2096.512</v>
      </c>
      <c r="G46" s="67" t="n">
        <f aca="false">G38*IF(G39=0,G45,MIN(G45,G39))+(1-G38)*(G45/G40+G41)</f>
        <v>2096.512</v>
      </c>
      <c r="H46" s="67" t="n">
        <f aca="false">H38*IF(H39=0,H45,MIN(H45,H39))+(1-H38)*(H45/H40+H41)</f>
        <v>2096.512</v>
      </c>
      <c r="I46" s="67" t="n">
        <f aca="false">I38*IF(I39=0,I45,MIN(I45,I39))+(1-I38)*(I45/I40+I41)</f>
        <v>2096.512</v>
      </c>
    </row>
    <row r="47" customFormat="false" ht="15" hidden="false" customHeight="false" outlineLevel="0" collapsed="false">
      <c r="A47" s="61" t="s">
        <v>495</v>
      </c>
      <c r="B47" s="61" t="s">
        <v>493</v>
      </c>
      <c r="C47" s="74" t="n">
        <f aca="false">(2*C30*1000000000+C37*C46)/1000000000</f>
        <v>131.524870545408</v>
      </c>
      <c r="D47" s="74" t="n">
        <f aca="false">(2*D30*1000000000+D37*D46)/1000000000</f>
        <v>131.524870545408</v>
      </c>
      <c r="E47" s="74" t="n">
        <f aca="false">(2*E30*1000000000+E37*E46)/1000000000</f>
        <v>131.524870545408</v>
      </c>
      <c r="F47" s="74" t="n">
        <f aca="false">(2*F30*1000000000+F37*F46)/1000000000</f>
        <v>131.524870545408</v>
      </c>
      <c r="G47" s="74" t="n">
        <f aca="false">(2*G30*1000000000+G37*G46)/1000000000</f>
        <v>131.524870545408</v>
      </c>
      <c r="H47" s="74" t="n">
        <f aca="false">(2*H30*1000000000+H37*H46)/1000000000</f>
        <v>131.524870545408</v>
      </c>
      <c r="I47" s="74" t="n">
        <f aca="false">(2*I30*1000000000+I37*I46)/1000000000</f>
        <v>131.524870545408</v>
      </c>
    </row>
    <row r="48" customFormat="false" ht="15" hidden="false" customHeight="false" outlineLevel="0" collapsed="false">
      <c r="A48" s="60" t="s">
        <v>496</v>
      </c>
      <c r="B48" s="61" t="s">
        <v>316</v>
      </c>
      <c r="C48" s="62" t="n">
        <f aca="false">C24*(1-Serving!$C$9)</f>
        <v>259.2</v>
      </c>
      <c r="D48" s="62" t="n">
        <f aca="false">D24*(1-Serving!$C$9)</f>
        <v>259.2</v>
      </c>
      <c r="E48" s="62" t="n">
        <f aca="false">E24*(1-Serving!$C$9)</f>
        <v>259.2</v>
      </c>
      <c r="F48" s="62" t="n">
        <f aca="false">F24*(1-Serving!$C$9)</f>
        <v>259.2</v>
      </c>
      <c r="G48" s="62" t="n">
        <f aca="false">G24*(1-Serving!$C$9)</f>
        <v>167.4</v>
      </c>
      <c r="H48" s="62" t="n">
        <f aca="false">H24*(1-Serving!$C$9)</f>
        <v>167.4</v>
      </c>
      <c r="I48" s="62" t="n">
        <f aca="false">I24*(1-Serving!$C$9)</f>
        <v>259.2</v>
      </c>
    </row>
    <row r="49" customFormat="false" ht="15" hidden="false" customHeight="false" outlineLevel="0" collapsed="false">
      <c r="A49" s="60" t="s">
        <v>497</v>
      </c>
      <c r="B49" s="60"/>
      <c r="C49" s="89" t="n">
        <f aca="false">MAX(1,CEILING(C34*C29/(Serving!$C$10*C48),1))</f>
        <v>1</v>
      </c>
      <c r="D49" s="89" t="n">
        <f aca="false">MAX(1,CEILING(D34*D29/(Serving!$C$10*D48),1))</f>
        <v>1</v>
      </c>
      <c r="E49" s="89" t="n">
        <f aca="false">MAX(1,CEILING(E34*E29/(Serving!$C$10*E48),1))</f>
        <v>1</v>
      </c>
      <c r="F49" s="89" t="n">
        <f aca="false">MAX(1,CEILING(F34*F29/(Serving!$C$10*F48),1))</f>
        <v>1</v>
      </c>
      <c r="G49" s="89" t="n">
        <f aca="false">MAX(1,CEILING(G34*G29/(Serving!$C$10*G48),1))</f>
        <v>1</v>
      </c>
      <c r="H49" s="89" t="n">
        <f aca="false">MAX(1,CEILING(H34*H29/(Serving!$C$10*H48),1))</f>
        <v>1</v>
      </c>
      <c r="I49" s="89" t="n">
        <f aca="false">MAX(1,CEILING(I34*I29/(Serving!$C$10*I48),1))</f>
        <v>1</v>
      </c>
    </row>
    <row r="50" customFormat="false" ht="15" hidden="false" customHeight="false" outlineLevel="0" collapsed="false">
      <c r="A50" s="61" t="s">
        <v>498</v>
      </c>
      <c r="B50" s="60"/>
      <c r="C50" s="62" t="n">
        <f aca="false">MAX(C27,CEILING(C35*C28/(Serving!$C$11*C48),1))</f>
        <v>32</v>
      </c>
      <c r="D50" s="62" t="n">
        <f aca="false">MAX(D27,CEILING(D35*D28/(Serving!$C$11*D48),1))</f>
        <v>32</v>
      </c>
      <c r="E50" s="62" t="n">
        <f aca="false">MAX(E27,CEILING(E35*E28/(Serving!$C$11*E48),1))</f>
        <v>32</v>
      </c>
      <c r="F50" s="62" t="n">
        <f aca="false">MAX(F27,CEILING(F35*F28/(Serving!$C$11*F48),1))</f>
        <v>32</v>
      </c>
      <c r="G50" s="62" t="n">
        <f aca="false">MAX(G27,CEILING(G35*G28/(Serving!$C$11*G48),1))</f>
        <v>32</v>
      </c>
      <c r="H50" s="62" t="n">
        <f aca="false">MAX(H27,CEILING(H35*H28/(Serving!$C$11*H48),1))</f>
        <v>32</v>
      </c>
      <c r="I50" s="62" t="n">
        <f aca="false">MAX(I27,CEILING(I35*I28/(Serving!$C$11*I48),1))</f>
        <v>32</v>
      </c>
    </row>
    <row r="51" customFormat="false" ht="15" hidden="false" customHeight="false" outlineLevel="0" collapsed="false">
      <c r="A51" s="60" t="s">
        <v>499</v>
      </c>
      <c r="B51" s="61" t="s">
        <v>316</v>
      </c>
      <c r="C51" s="74" t="n">
        <f aca="false">C34*C29/C49+C35*C28/C50</f>
        <v>48.0463324652778</v>
      </c>
      <c r="D51" s="74" t="n">
        <f aca="false">D34*D29/D49+D35*D28/D50</f>
        <v>48.0463324652778</v>
      </c>
      <c r="E51" s="74" t="n">
        <f aca="false">E34*E29/E49+E35*E28/E50</f>
        <v>48.0463324652778</v>
      </c>
      <c r="F51" s="74" t="n">
        <f aca="false">F34*F29/F49+F35*F28/F50</f>
        <v>48.0463324652778</v>
      </c>
      <c r="G51" s="74" t="n">
        <f aca="false">G34*G29/G49+G35*G28/G50</f>
        <v>48.0463324652778</v>
      </c>
      <c r="H51" s="74" t="n">
        <f aca="false">H34*H29/H49+H35*H28/H50</f>
        <v>48.0463324652778</v>
      </c>
      <c r="I51" s="74" t="n">
        <f aca="false">I34*I29/I49+I35*I28/I50</f>
        <v>48.0463324652778</v>
      </c>
    </row>
    <row r="52" customFormat="false" ht="15" hidden="false" customHeight="false" outlineLevel="0" collapsed="false">
      <c r="A52" s="60" t="s">
        <v>500</v>
      </c>
      <c r="B52" s="60"/>
      <c r="C52" s="89" t="n">
        <f aca="false">Serving!$C$6*C13</f>
        <v>3</v>
      </c>
      <c r="D52" s="89" t="n">
        <f aca="false">Serving!$C$6*D13</f>
        <v>3</v>
      </c>
      <c r="E52" s="89" t="n">
        <f aca="false">Serving!$C$6*E13</f>
        <v>3</v>
      </c>
      <c r="F52" s="89" t="n">
        <f aca="false">Serving!$C$6*F13</f>
        <v>0</v>
      </c>
      <c r="G52" s="89" t="n">
        <f aca="false">Serving!$C$6*G13</f>
        <v>0</v>
      </c>
      <c r="H52" s="89" t="n">
        <f aca="false">Serving!$C$6*H13</f>
        <v>3</v>
      </c>
      <c r="I52" s="89" t="n">
        <f aca="false">Serving!$C$6*I13</f>
        <v>3</v>
      </c>
    </row>
    <row r="53" customFormat="false" ht="15" hidden="false" customHeight="false" outlineLevel="0" collapsed="false">
      <c r="A53" s="60" t="s">
        <v>501</v>
      </c>
      <c r="B53" s="60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</row>
    <row r="54" customFormat="false" ht="15" hidden="false" customHeight="false" outlineLevel="0" collapsed="false">
      <c r="A54" s="61" t="s">
        <v>502</v>
      </c>
      <c r="B54" s="61" t="s">
        <v>372</v>
      </c>
      <c r="C54" s="67" t="n">
        <f aca="false">$C$5*C23*1000000000000000/(C47*1000000000)</f>
        <v>34214.061426857</v>
      </c>
      <c r="D54" s="67" t="n">
        <f aca="false">$C$5*D23*1000000000000000/(D47*1000000000)</f>
        <v>34214.061426857</v>
      </c>
      <c r="E54" s="67" t="n">
        <f aca="false">$C$5*E23*1000000000000000/(E47*1000000000)</f>
        <v>34214.061426857</v>
      </c>
      <c r="F54" s="67" t="n">
        <f aca="false">$C$5*F23*1000000000000000/(F47*1000000000)</f>
        <v>34214.061426857</v>
      </c>
      <c r="G54" s="67" t="n">
        <f aca="false">$C$5*G23*1000000000000000/(G47*1000000000)</f>
        <v>22809.3742845713</v>
      </c>
      <c r="H54" s="67" t="n">
        <f aca="false">$C$5*H23*1000000000000000/(H47*1000000000)</f>
        <v>22809.3742845713</v>
      </c>
      <c r="I54" s="67" t="n">
        <f aca="false">$C$5*I23*1000000000000000/(I47*1000000000)</f>
        <v>34214.061426857</v>
      </c>
    </row>
    <row r="55" customFormat="false" ht="15" hidden="false" customHeight="false" outlineLevel="0" collapsed="false">
      <c r="A55" s="60" t="s">
        <v>503</v>
      </c>
      <c r="B55" s="61" t="s">
        <v>504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</row>
    <row r="56" customFormat="false" ht="15" hidden="false" customHeight="false" outlineLevel="0" collapsed="false">
      <c r="A56" s="60" t="s">
        <v>505</v>
      </c>
      <c r="B56" s="61" t="s">
        <v>372</v>
      </c>
      <c r="C56" s="67" t="n">
        <f aca="false">C16/((C15+C16)/C17-C15/C54)</f>
        <v>1370.69137627503</v>
      </c>
      <c r="D56" s="67" t="n">
        <f aca="false">D16/((D15+D16)/D17-D15/D54)</f>
        <v>415.076479131515</v>
      </c>
      <c r="E56" s="67" t="n">
        <f aca="false">E16/((E15+E16)/E17-E15/E54)</f>
        <v>1755.15750600715</v>
      </c>
      <c r="F56" s="67" t="n">
        <f aca="false">F16/((F15+F16)/F17-F15/F54)</f>
        <v>818.3188584363</v>
      </c>
      <c r="G56" s="67" t="n">
        <f aca="false">G16/((G15+G16)/G17-G15/G54)</f>
        <v>265.905578608434</v>
      </c>
      <c r="H56" s="67" t="n">
        <f aca="false">H16/((H15+H16)/H17-H15/H54)</f>
        <v>494.927953841062</v>
      </c>
      <c r="I56" s="67" t="n">
        <f aca="false">I16/((I15+I16)/I17-I15/I54)</f>
        <v>872.571276968989</v>
      </c>
      <c r="J56" s="73" t="s">
        <v>506</v>
      </c>
    </row>
    <row r="57" customFormat="false" ht="15" hidden="false" customHeight="false" outlineLevel="0" collapsed="false">
      <c r="A57" s="60" t="s">
        <v>507</v>
      </c>
      <c r="B57" s="60" t="s">
        <v>508</v>
      </c>
      <c r="C57" s="74" t="n">
        <f aca="false">C56/C14</f>
        <v>19.037380226042</v>
      </c>
      <c r="D57" s="74" t="n">
        <f aca="false">D56/D14</f>
        <v>3.19289599331934</v>
      </c>
      <c r="E57" s="74" t="n">
        <f aca="false">E56/E14</f>
        <v>35.1031501201429</v>
      </c>
      <c r="F57" s="74" t="n">
        <f aca="false">F56/F14</f>
        <v>30.3081058680111</v>
      </c>
      <c r="G57" s="74" t="n">
        <f aca="false">G56/G14</f>
        <v>9.84835476327535</v>
      </c>
      <c r="H57" s="74" t="n">
        <f aca="false">H56/H14</f>
        <v>4.49934503491875</v>
      </c>
      <c r="I57" s="74" t="n">
        <f aca="false">I56/I14</f>
        <v>7.93246615426354</v>
      </c>
    </row>
    <row r="59" customFormat="false" ht="15" hidden="false" customHeight="false" outlineLevel="0" collapsed="false">
      <c r="A59" s="75" t="s">
        <v>509</v>
      </c>
      <c r="B59" s="69"/>
      <c r="C59" s="69"/>
      <c r="D59" s="69"/>
      <c r="E59" s="69"/>
      <c r="F59" s="69"/>
      <c r="G59" s="69"/>
      <c r="H59" s="69"/>
      <c r="I59" s="69"/>
      <c r="J59" s="69"/>
    </row>
    <row r="60" customFormat="false" ht="15" hidden="false" customHeight="false" outlineLevel="0" collapsed="false">
      <c r="A60" s="61" t="s">
        <v>510</v>
      </c>
      <c r="B60" s="61" t="s">
        <v>99</v>
      </c>
      <c r="C60" s="100" t="n">
        <f aca="false">(C57-D57)*C55/(1000*(C53/C14-D53/D14))</f>
        <v>0.0357550334998836</v>
      </c>
      <c r="J60" s="58" t="s">
        <v>511</v>
      </c>
    </row>
    <row r="61" customFormat="false" ht="15" hidden="false" customHeight="false" outlineLevel="0" collapsed="false">
      <c r="A61" s="60" t="s">
        <v>512</v>
      </c>
      <c r="B61" s="61" t="s">
        <v>504</v>
      </c>
      <c r="C61" s="71" t="n">
        <f aca="false">1000*C53/C14-C57*C55/C60</f>
        <v>16.3216531987164</v>
      </c>
    </row>
    <row r="62" customFormat="false" ht="15" hidden="false" customHeight="false" outlineLevel="0" collapsed="false">
      <c r="A62" s="60" t="s">
        <v>513</v>
      </c>
      <c r="B62" s="61" t="s">
        <v>514</v>
      </c>
      <c r="C62" s="70" t="n">
        <f aca="false">(C61-C51/C25)*1000/(C31+C52)</f>
        <v>161.185338133698</v>
      </c>
      <c r="J62" s="73" t="s">
        <v>515</v>
      </c>
    </row>
    <row r="63" customFormat="false" ht="15" hidden="false" customHeight="false" outlineLevel="0" collapsed="false">
      <c r="A63" s="60" t="s">
        <v>516</v>
      </c>
      <c r="C63" s="92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5" t="s">
        <v>517</v>
      </c>
      <c r="B65" s="69"/>
      <c r="C65" s="69"/>
      <c r="D65" s="69"/>
      <c r="E65" s="69"/>
      <c r="F65" s="69"/>
      <c r="G65" s="69"/>
      <c r="H65" s="69"/>
      <c r="I65" s="69"/>
      <c r="J65" s="69"/>
    </row>
    <row r="66" customFormat="false" ht="15" hidden="false" customHeight="false" outlineLevel="0" collapsed="false">
      <c r="A66" s="59" t="s">
        <v>171</v>
      </c>
      <c r="C66" s="81" t="str">
        <f aca="false">Spec_Rack!C4</f>
        <v>Hopper H100</v>
      </c>
      <c r="D66" s="81" t="str">
        <f aca="false">Spec_Rack!D4</f>
        <v>GB200 NVL72</v>
      </c>
      <c r="E66" s="81" t="str">
        <f aca="false">Spec_Rack!E4</f>
        <v>GB300 NVL72</v>
      </c>
      <c r="F66" s="81" t="str">
        <f aca="false">Spec_Rack!F4</f>
        <v>VR200 NVL72</v>
      </c>
      <c r="G66" s="81" t="str">
        <f aca="false">Spec_Rack!G4</f>
        <v>Rubin Ultra（MGX NVL 單架，72 GPU）</v>
      </c>
    </row>
    <row r="67" customFormat="false" ht="52.2" hidden="false" customHeight="false" outlineLevel="0" collapsed="false">
      <c r="A67" s="61" t="s">
        <v>518</v>
      </c>
      <c r="B67" s="61" t="s">
        <v>103</v>
      </c>
      <c r="C67" s="78" t="n">
        <v>1.2</v>
      </c>
      <c r="D67" s="78" t="n">
        <v>1</v>
      </c>
      <c r="E67" s="78" t="n">
        <v>1</v>
      </c>
      <c r="F67" s="78" t="n">
        <v>1</v>
      </c>
      <c r="G67" s="78" t="n">
        <v>1</v>
      </c>
      <c r="J67" s="87" t="s">
        <v>519</v>
      </c>
    </row>
    <row r="68" customFormat="false" ht="15" hidden="false" customHeight="false" outlineLevel="0" collapsed="false">
      <c r="A68" s="60" t="s">
        <v>520</v>
      </c>
      <c r="B68" s="61" t="s">
        <v>103</v>
      </c>
      <c r="C68" s="78" t="n">
        <v>1.5</v>
      </c>
      <c r="D68" s="78" t="n">
        <v>1</v>
      </c>
      <c r="E68" s="78" t="n">
        <v>1</v>
      </c>
      <c r="F68" s="78" t="n">
        <v>1</v>
      </c>
      <c r="G68" s="78" t="n">
        <v>1</v>
      </c>
      <c r="J68" s="87" t="s">
        <v>521</v>
      </c>
    </row>
    <row r="69" customFormat="false" ht="26.85" hidden="false" customHeight="false" outlineLevel="0" collapsed="false">
      <c r="A69" s="61" t="s">
        <v>522</v>
      </c>
      <c r="B69" s="61" t="s">
        <v>103</v>
      </c>
      <c r="C69" s="97" t="n">
        <f aca="false">SRC_HW_019/SRC_HW_040</f>
        <v>0.499747347145023</v>
      </c>
      <c r="D69" s="78" t="n">
        <v>1</v>
      </c>
      <c r="E69" s="78" t="n">
        <v>1</v>
      </c>
      <c r="F69" s="78" t="n">
        <v>1</v>
      </c>
      <c r="G69" s="78" t="n">
        <v>1</v>
      </c>
      <c r="J69" s="87" t="s">
        <v>523</v>
      </c>
    </row>
    <row r="70" customFormat="false" ht="15" hidden="false" customHeight="false" outlineLevel="0" collapsed="false">
      <c r="A70" s="61" t="s">
        <v>524</v>
      </c>
      <c r="B70" s="61" t="s">
        <v>99</v>
      </c>
      <c r="C70" s="100" t="n">
        <f aca="false">$C$60*C67</f>
        <v>0.0429060401998604</v>
      </c>
      <c r="D70" s="100" t="n">
        <f aca="false">$C$60*D67</f>
        <v>0.0357550334998836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0" t="s">
        <v>525</v>
      </c>
      <c r="B71" s="61" t="s">
        <v>514</v>
      </c>
      <c r="C71" s="70" t="n">
        <f aca="false">$C$62*C68</f>
        <v>241.778007200547</v>
      </c>
      <c r="D71" s="70" t="n">
        <f aca="false">$C$62*D68</f>
        <v>161.185338133698</v>
      </c>
      <c r="E71" s="70" t="n">
        <f aca="false">$C$62*E68</f>
        <v>161.185338133698</v>
      </c>
      <c r="F71" s="70" t="n">
        <f aca="false">$C$62*F68</f>
        <v>161.185338133698</v>
      </c>
      <c r="G71" s="70" t="n">
        <f aca="false">$C$62*G68</f>
        <v>161.185338133698</v>
      </c>
    </row>
    <row r="72" customFormat="false" ht="15" hidden="false" customHeight="false" outlineLevel="0" collapsed="false">
      <c r="A72" s="61" t="s">
        <v>526</v>
      </c>
      <c r="B72" s="61" t="s">
        <v>99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5" t="s">
        <v>527</v>
      </c>
      <c r="B74" s="69"/>
      <c r="C74" s="69"/>
      <c r="D74" s="69"/>
      <c r="E74" s="69"/>
      <c r="F74" s="69"/>
      <c r="G74" s="69"/>
      <c r="H74" s="69"/>
      <c r="I74" s="69"/>
      <c r="J74" s="69"/>
    </row>
    <row r="75" customFormat="false" ht="15" hidden="false" customHeight="false" outlineLevel="0" collapsed="false">
      <c r="A75" s="61" t="s">
        <v>528</v>
      </c>
      <c r="B75" s="61" t="s">
        <v>99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0.0357550334998836</v>
      </c>
      <c r="H75" s="102" t="n">
        <f aca="false">INDEX($C$70:$G$70,H10)</f>
        <v>0.0357550334998836</v>
      </c>
      <c r="I75" s="102" t="n">
        <f aca="false">INDEX($C$70:$G$70,I10)</f>
        <v>0.0357550334998836</v>
      </c>
    </row>
    <row r="76" customFormat="false" ht="15" hidden="false" customHeight="false" outlineLevel="0" collapsed="false">
      <c r="A76" s="60" t="s">
        <v>529</v>
      </c>
      <c r="B76" s="61" t="s">
        <v>514</v>
      </c>
      <c r="C76" s="67" t="n">
        <f aca="false">INDEX($C$71:$G$71,C10)</f>
        <v>161.185338133698</v>
      </c>
      <c r="D76" s="67" t="n">
        <f aca="false">INDEX($C$71:$G$71,D10)</f>
        <v>161.185338133698</v>
      </c>
      <c r="E76" s="67" t="n">
        <f aca="false">INDEX($C$71:$G$71,E10)</f>
        <v>161.185338133698</v>
      </c>
      <c r="F76" s="67" t="n">
        <f aca="false">INDEX($C$71:$G$71,F10)</f>
        <v>161.185338133698</v>
      </c>
      <c r="G76" s="67" t="n">
        <f aca="false">INDEX($C$71:$G$71,G10)</f>
        <v>161.185338133698</v>
      </c>
      <c r="H76" s="67" t="n">
        <f aca="false">INDEX($C$71:$G$71,H10)</f>
        <v>161.185338133698</v>
      </c>
      <c r="I76" s="67" t="n">
        <f aca="false">INDEX($C$71:$G$71,I10)</f>
        <v>161.185338133698</v>
      </c>
    </row>
    <row r="77" customFormat="false" ht="15" hidden="false" customHeight="false" outlineLevel="0" collapsed="false">
      <c r="A77" s="61" t="s">
        <v>530</v>
      </c>
      <c r="B77" s="61" t="s">
        <v>99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</row>
    <row r="78" customFormat="false" ht="15" hidden="false" customHeight="false" outlineLevel="0" collapsed="false">
      <c r="A78" s="61" t="s">
        <v>531</v>
      </c>
      <c r="B78" s="61" t="s">
        <v>372</v>
      </c>
      <c r="C78" s="67" t="n">
        <f aca="false">C77*C23*1000000000000000/(C47*1000000000)</f>
        <v>34214.061426857</v>
      </c>
      <c r="D78" s="67" t="n">
        <f aca="false">D77*D23*1000000000000000/(D47*1000000000)</f>
        <v>34214.061426857</v>
      </c>
      <c r="E78" s="67" t="n">
        <f aca="false">E77*E23*1000000000000000/(E47*1000000000)</f>
        <v>34214.061426857</v>
      </c>
      <c r="F78" s="67" t="n">
        <f aca="false">F77*F23*1000000000000000/(F47*1000000000)</f>
        <v>34214.061426857</v>
      </c>
      <c r="G78" s="67" t="n">
        <f aca="false">G77*G23*1000000000000000/(G47*1000000000)</f>
        <v>22809.3742845713</v>
      </c>
      <c r="H78" s="67" t="n">
        <f aca="false">H77*H23*1000000000000000/(H47*1000000000)</f>
        <v>22809.3742845713</v>
      </c>
      <c r="I78" s="67" t="n">
        <f aca="false">I77*I23*1000000000000000/(I47*1000000000)</f>
        <v>34214.061426857</v>
      </c>
    </row>
    <row r="79" customFormat="false" ht="15" hidden="false" customHeight="false" outlineLevel="0" collapsed="false">
      <c r="A79" s="60" t="s">
        <v>532</v>
      </c>
      <c r="B79" s="61" t="s">
        <v>504</v>
      </c>
      <c r="C79" s="71" t="n">
        <f aca="false">C51/C25+(C31+C52)*C76/1000</f>
        <v>16.3216531987164</v>
      </c>
      <c r="D79" s="71" t="n">
        <f aca="false">D51/D25+(D31+D52)*D76/1000</f>
        <v>16.3216531987164</v>
      </c>
      <c r="E79" s="71" t="n">
        <f aca="false">E51/E25+(E31+E52)*E76/1000</f>
        <v>16.3216531987164</v>
      </c>
      <c r="F79" s="71" t="n">
        <f aca="false">F51/F25+(F31+F52)*F76/1000</f>
        <v>15.8380971843153</v>
      </c>
      <c r="G79" s="71" t="n">
        <f aca="false">G51/G25+(G31+G52)*G76/1000</f>
        <v>15.8380971843153</v>
      </c>
      <c r="H79" s="71" t="n">
        <f aca="false">H51/H25+(H31+H52)*H76/1000</f>
        <v>16.3216531987164</v>
      </c>
      <c r="I79" s="71" t="n">
        <f aca="false">I51/I25+(I31+I52)*I76/1000</f>
        <v>16.3216531987164</v>
      </c>
    </row>
    <row r="80" customFormat="false" ht="15" hidden="false" customHeight="false" outlineLevel="0" collapsed="false">
      <c r="A80" s="60" t="s">
        <v>533</v>
      </c>
      <c r="B80" s="61" t="s">
        <v>504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0.371484327141845</v>
      </c>
      <c r="H80" s="96" t="n">
        <f aca="false">MAX(H55/H75,H36*H42/(H25*Serving!$C$13)/1000000000,(H52+1)*H31*H33*H32*Serving!$C$12*(H50-1)/H50/(H26*Serving!$C$14)/1000000000)</f>
        <v>1.48593730856738</v>
      </c>
      <c r="I80" s="96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61" t="s">
        <v>534</v>
      </c>
      <c r="B81" s="60" t="s">
        <v>535</v>
      </c>
      <c r="C81" s="74" t="n">
        <f aca="false">(1000*C53/C14-C79)/C80</f>
        <v>19.037380226042</v>
      </c>
      <c r="D81" s="74" t="n">
        <f aca="false">(1000*D53/D14-D79)/D80</f>
        <v>3.19289599331934</v>
      </c>
      <c r="E81" s="74" t="n">
        <f aca="false">(1000*E53/E14-E79)/E80</f>
        <v>34.6633198486582</v>
      </c>
      <c r="F81" s="74" t="n">
        <f aca="false">(1000*F53/F14-F79)/F80</f>
        <v>85.5982539660171</v>
      </c>
      <c r="G81" s="74" t="n">
        <f aca="false">(1000*G53/G14-G79)/G80</f>
        <v>57.0655026440114</v>
      </c>
      <c r="H81" s="74" t="n">
        <f aca="false">(1000*H53/H14-H79)/H80</f>
        <v>4.51272034822341</v>
      </c>
      <c r="I81" s="74" t="n">
        <f aca="false">(1000*I53/I14-I79)/I80</f>
        <v>6.76908052233512</v>
      </c>
    </row>
    <row r="82" customFormat="false" ht="15" hidden="false" customHeight="false" outlineLevel="0" collapsed="false">
      <c r="A82" s="60" t="s">
        <v>536</v>
      </c>
      <c r="B82" s="60" t="s">
        <v>535</v>
      </c>
      <c r="C82" s="67" t="n">
        <f aca="false">(C48-C51)*1000000000/(C36*C42)</f>
        <v>6118.38152813225</v>
      </c>
      <c r="D82" s="67" t="n">
        <f aca="false">(D48-D51)*1000000000/(D36*D42)</f>
        <v>6118.38152813225</v>
      </c>
      <c r="E82" s="67" t="n">
        <f aca="false">(E48-E51)*1000000000/(E36*E42)</f>
        <v>6118.38152813225</v>
      </c>
      <c r="F82" s="67" t="n">
        <f aca="false">(F48-F51)*1000000000/(F36*F42)</f>
        <v>6118.38152813225</v>
      </c>
      <c r="G82" s="67" t="n">
        <f aca="false">(G48-G51)*1000000000/(G36*G42)</f>
        <v>3458.38783330249</v>
      </c>
      <c r="H82" s="67" t="n">
        <f aca="false">(H48-H51)*1000000000/(H36*H42)</f>
        <v>3458.38783330249</v>
      </c>
      <c r="I82" s="67" t="n">
        <f aca="false">(I48-I51)*1000000000/(I36*I42)</f>
        <v>6118.38152813225</v>
      </c>
    </row>
    <row r="83" customFormat="false" ht="15" hidden="false" customHeight="false" outlineLevel="0" collapsed="false">
      <c r="A83" s="61" t="s">
        <v>537</v>
      </c>
      <c r="B83" s="60" t="s">
        <v>535</v>
      </c>
      <c r="C83" s="74" t="n">
        <f aca="false">MAX(0,MIN(C81,C82))</f>
        <v>19.037380226042</v>
      </c>
      <c r="D83" s="74" t="n">
        <f aca="false">MAX(0,MIN(D81,D82))</f>
        <v>3.19289599331934</v>
      </c>
      <c r="E83" s="74" t="n">
        <f aca="false">MAX(0,MIN(E81,E82))</f>
        <v>34.6633198486582</v>
      </c>
      <c r="F83" s="74" t="n">
        <f aca="false">MAX(0,MIN(F81,F82))</f>
        <v>85.5982539660171</v>
      </c>
      <c r="G83" s="74" t="n">
        <f aca="false">MAX(0,MIN(G81,G82))</f>
        <v>57.0655026440114</v>
      </c>
      <c r="H83" s="74" t="n">
        <f aca="false">MAX(0,MIN(H81,H82))</f>
        <v>4.51272034822341</v>
      </c>
      <c r="I83" s="74" t="n">
        <f aca="false">MAX(0,MIN(I81,I82))</f>
        <v>6.76908052233512</v>
      </c>
    </row>
    <row r="84" customFormat="false" ht="15" hidden="false" customHeight="false" outlineLevel="0" collapsed="false">
      <c r="A84" s="61" t="s">
        <v>538</v>
      </c>
      <c r="B84" s="61" t="s">
        <v>372</v>
      </c>
      <c r="C84" s="67" t="n">
        <f aca="false">IF(C83&gt;0,C83*C53/((C79+C83*C80)/1000),0)</f>
        <v>1370.69137627503</v>
      </c>
      <c r="D84" s="67" t="n">
        <f aca="false">IF(D83&gt;0,D83*D53/((D79+D83*D80)/1000),0)</f>
        <v>415.076479131514</v>
      </c>
      <c r="E84" s="67" t="n">
        <f aca="false">IF(E83&gt;0,E83*E53/((E79+E83*E80)/1000),0)</f>
        <v>1733.16599243291</v>
      </c>
      <c r="F84" s="67" t="n">
        <f aca="false">IF(F83&gt;0,F83*F53/((F79+F83*F80)/1000),0)</f>
        <v>2311.15285708246</v>
      </c>
      <c r="G84" s="67" t="n">
        <f aca="false">IF(G83&gt;0,G83*G53/((G79+G83*G80)/1000),0)</f>
        <v>1540.76857138831</v>
      </c>
      <c r="H84" s="67" t="n">
        <f aca="false">IF(H83&gt;0,H83*H53/((H79+H83*H80)/1000),0)</f>
        <v>496.399238304576</v>
      </c>
      <c r="I84" s="67" t="n">
        <f aca="false">IF(I83&gt;0,I83*I53/((I79+I83*I80)/1000),0)</f>
        <v>744.598857456863</v>
      </c>
    </row>
    <row r="85" customFormat="false" ht="15" hidden="false" customHeight="false" outlineLevel="0" collapsed="false">
      <c r="A85" s="60" t="s">
        <v>539</v>
      </c>
      <c r="B85" s="61" t="s">
        <v>372</v>
      </c>
      <c r="C85" s="67" t="n">
        <f aca="false">IF(C84&gt;0,(C15+C16)/(C15/C78+C16/C84),0)</f>
        <v>9342.1</v>
      </c>
      <c r="D85" s="67" t="n">
        <f aca="false">IF(D84&gt;0,(D15+D16)/(D15/D78+D16/D84),0)</f>
        <v>3405.2</v>
      </c>
      <c r="E85" s="67" t="n">
        <f aca="false">IF(E84&gt;0,(E15+E16)/(E15/E78+E16/E84),0)</f>
        <v>11100.1374307429</v>
      </c>
      <c r="F85" s="67" t="n">
        <f aca="false">IF(F84&gt;0,(F15+F16)/(F15/F78+F16/F84),0)</f>
        <v>13503.2444760612</v>
      </c>
      <c r="G85" s="67" t="n">
        <f aca="false">IF(G84&gt;0,(G15+G16)/(G15/G78+G16/G84),0)</f>
        <v>9002.16298404078</v>
      </c>
      <c r="H85" s="67" t="n">
        <f aca="false">IF(H84&gt;0,(H15+H16)/(H15/H78+H16/H84),0)</f>
        <v>3805.10986409177</v>
      </c>
      <c r="I85" s="67" t="n">
        <f aca="false">IF(I84&gt;0,(I15+I16)/(I15/I78+I16/I84),0)</f>
        <v>5707.66479613766</v>
      </c>
    </row>
    <row r="86" customFormat="false" ht="15" hidden="false" customHeight="false" outlineLevel="0" collapsed="false">
      <c r="A86" s="60" t="s">
        <v>540</v>
      </c>
      <c r="B86" s="61" t="s">
        <v>103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4.1124545381639</v>
      </c>
      <c r="H86" s="104" t="n">
        <f aca="false">H85/H17</f>
        <v>1.00253190991747</v>
      </c>
      <c r="I86" s="104" t="n">
        <f aca="false">I85/I17</f>
        <v>0.875086593299653</v>
      </c>
    </row>
    <row r="87" customFormat="false" ht="42" hidden="false" customHeight="true" outlineLevel="0" collapsed="false">
      <c r="A87" s="60" t="s">
        <v>541</v>
      </c>
      <c r="C87" s="93" t="s">
        <v>542</v>
      </c>
      <c r="D87" s="93" t="s">
        <v>542</v>
      </c>
      <c r="E87" s="93" t="s">
        <v>543</v>
      </c>
      <c r="F87" s="93" t="s">
        <v>544</v>
      </c>
      <c r="G87" s="93" t="s">
        <v>545</v>
      </c>
      <c r="H87" s="93" t="s">
        <v>546</v>
      </c>
      <c r="I87" s="93" t="s">
        <v>125</v>
      </c>
    </row>
    <row r="89" customFormat="false" ht="15" hidden="false" customHeight="false" outlineLevel="0" collapsed="false">
      <c r="A89" s="75" t="s">
        <v>547</v>
      </c>
      <c r="B89" s="69"/>
      <c r="C89" s="69"/>
      <c r="D89" s="69"/>
      <c r="E89" s="69"/>
      <c r="F89" s="69"/>
      <c r="G89" s="69"/>
      <c r="H89" s="69"/>
      <c r="I89" s="69"/>
      <c r="J89" s="69"/>
    </row>
    <row r="90" customFormat="false" ht="15" hidden="false" customHeight="false" outlineLevel="0" collapsed="false">
      <c r="A90" s="10" t="s">
        <v>548</v>
      </c>
      <c r="C90" s="65" t="n">
        <v>0.15</v>
      </c>
      <c r="D90" s="65" t="n">
        <v>0.3</v>
      </c>
      <c r="E90" s="65" t="n">
        <v>0.45</v>
      </c>
    </row>
    <row r="91" customFormat="false" ht="15" hidden="false" customHeight="false" outlineLevel="0" collapsed="false">
      <c r="A91" s="60" t="s">
        <v>549</v>
      </c>
      <c r="C91" s="67" t="n">
        <f aca="false">C90*$C$23*1000000000000000/($C$47*1000000000)</f>
        <v>17107.0307134285</v>
      </c>
      <c r="D91" s="67" t="n">
        <f aca="false">D90*$C$23*1000000000000000/($C$47*1000000000)</f>
        <v>34214.061426857</v>
      </c>
      <c r="E91" s="67" t="n">
        <f aca="false">E90*$C$23*1000000000000000/($C$47*1000000000)</f>
        <v>51321.0921402855</v>
      </c>
    </row>
    <row r="92" customFormat="false" ht="15" hidden="false" customHeight="false" outlineLevel="0" collapsed="false">
      <c r="A92" s="60" t="s">
        <v>550</v>
      </c>
      <c r="C92" s="67" t="n">
        <f aca="false">C90*$D$23*1000000000000000/($D$47*1000000000)</f>
        <v>17107.0307134285</v>
      </c>
      <c r="D92" s="67" t="n">
        <f aca="false">D90*$D$23*1000000000000000/($D$47*1000000000)</f>
        <v>34214.061426857</v>
      </c>
      <c r="E92" s="67" t="n">
        <f aca="false">E90*$D$23*1000000000000000/($D$47*1000000000)</f>
        <v>51321.0921402855</v>
      </c>
    </row>
    <row r="93" customFormat="false" ht="15" hidden="false" customHeight="false" outlineLevel="0" collapsed="false">
      <c r="A93" s="60" t="s">
        <v>551</v>
      </c>
      <c r="C93" s="74" t="n">
        <f aca="false">$C$16/(($C$15+$C$16)/$C$17-$C$15/C91)/$C$14</f>
        <v>28.0166567428954</v>
      </c>
      <c r="D93" s="74" t="n">
        <f aca="false">$C$16/(($C$15+$C$16)/$C$17-$C$15/D91)/$C$14</f>
        <v>19.037380226042</v>
      </c>
      <c r="E93" s="74" t="n">
        <f aca="false">$C$16/(($C$15+$C$16)/$C$17-$C$15/E91)/$C$14</f>
        <v>17.199873128154</v>
      </c>
    </row>
    <row r="94" customFormat="false" ht="15" hidden="false" customHeight="false" outlineLevel="0" collapsed="false">
      <c r="A94" s="60" t="s">
        <v>552</v>
      </c>
      <c r="C94" s="74" t="n">
        <f aca="false">$D$16/(($D$15+$D$16)/$D$17-$D$15/C92)/$D$14</f>
        <v>3.53608745806425</v>
      </c>
      <c r="D94" s="74" t="n">
        <f aca="false">$D$16/(($D$15+$D$16)/$D$17-$D$15/D92)/$D$14</f>
        <v>3.19289599331934</v>
      </c>
      <c r="E94" s="74" t="n">
        <f aca="false">$D$16/(($D$15+$D$16)/$D$17-$D$15/E92)/$D$14</f>
        <v>3.09283853347512</v>
      </c>
    </row>
    <row r="95" customFormat="false" ht="15" hidden="false" customHeight="false" outlineLevel="0" collapsed="false">
      <c r="A95" s="61" t="s">
        <v>553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</row>
    <row r="96" customFormat="false" ht="15" hidden="false" customHeight="false" outlineLevel="0" collapsed="false">
      <c r="A96" s="60" t="s">
        <v>554</v>
      </c>
      <c r="C96" s="67" t="n">
        <f aca="false">((1000*$C$53/$C$14-C93*$C$55/C95)-$C$51/$C$25)*1000/($C$31+$C$52)</f>
        <v>175.181704944217</v>
      </c>
      <c r="D96" s="67" t="n">
        <f aca="false">((1000*$C$53/$C$14-D93*$C$55/D95)-$C$51/$C$25)*1000/($C$31+$C$52)</f>
        <v>161.185338133698</v>
      </c>
      <c r="E96" s="67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5" t="s">
        <v>555</v>
      </c>
      <c r="B98" s="69"/>
      <c r="C98" s="69"/>
      <c r="D98" s="69"/>
      <c r="E98" s="69"/>
      <c r="F98" s="69"/>
      <c r="G98" s="69"/>
      <c r="H98" s="69"/>
      <c r="I98" s="69"/>
      <c r="J98" s="69"/>
    </row>
    <row r="99" customFormat="false" ht="15" hidden="false" customHeight="false" outlineLevel="0" collapsed="false">
      <c r="A99" s="10" t="s">
        <v>556</v>
      </c>
    </row>
    <row r="100" customFormat="false" ht="26.85" hidden="false" customHeight="false" outlineLevel="0" collapsed="false">
      <c r="A100" s="60" t="s">
        <v>270</v>
      </c>
      <c r="B100" s="61" t="s">
        <v>271</v>
      </c>
      <c r="C100" s="62" t="n">
        <f aca="false">SRC_MOD_020</f>
        <v>671</v>
      </c>
      <c r="J100" s="87" t="s">
        <v>557</v>
      </c>
    </row>
    <row r="101" customFormat="false" ht="15" hidden="false" customHeight="false" outlineLevel="0" collapsed="false">
      <c r="A101" s="60" t="s">
        <v>274</v>
      </c>
      <c r="B101" s="61" t="s">
        <v>271</v>
      </c>
      <c r="C101" s="62" t="n">
        <f aca="false">SRC_MOD_021</f>
        <v>37</v>
      </c>
    </row>
    <row r="102" customFormat="false" ht="15" hidden="false" customHeight="false" outlineLevel="0" collapsed="false">
      <c r="A102" s="60" t="s">
        <v>276</v>
      </c>
      <c r="B102" s="60"/>
      <c r="C102" s="62" t="n">
        <f aca="false">SRC_MOD_022</f>
        <v>61</v>
      </c>
    </row>
    <row r="103" customFormat="false" ht="15" hidden="false" customHeight="false" outlineLevel="0" collapsed="false">
      <c r="A103" s="61" t="s">
        <v>279</v>
      </c>
      <c r="B103" s="60"/>
      <c r="C103" s="62" t="n">
        <f aca="false">SRC_MOD_023</f>
        <v>7168</v>
      </c>
    </row>
    <row r="104" customFormat="false" ht="15" hidden="false" customHeight="false" outlineLevel="0" collapsed="false">
      <c r="A104" s="61" t="s">
        <v>285</v>
      </c>
      <c r="B104" s="60"/>
      <c r="C104" s="62" t="n">
        <f aca="false">SRC_MOD_024</f>
        <v>256</v>
      </c>
    </row>
    <row r="105" customFormat="false" ht="15" hidden="false" customHeight="false" outlineLevel="0" collapsed="false">
      <c r="A105" s="60" t="s">
        <v>558</v>
      </c>
      <c r="B105" s="60"/>
      <c r="C105" s="62" t="n">
        <f aca="false">SRC_MOD_025</f>
        <v>8</v>
      </c>
    </row>
    <row r="106" customFormat="false" ht="15" hidden="false" customHeight="false" outlineLevel="0" collapsed="false">
      <c r="A106" s="61" t="s">
        <v>287</v>
      </c>
      <c r="B106" s="60"/>
      <c r="C106" s="62" t="n">
        <f aca="false">SRC_MOD_026</f>
        <v>1</v>
      </c>
    </row>
    <row r="107" customFormat="false" ht="15" hidden="false" customHeight="false" outlineLevel="0" collapsed="false">
      <c r="A107" s="61" t="s">
        <v>288</v>
      </c>
      <c r="B107" s="60"/>
      <c r="C107" s="62" t="n">
        <f aca="false">SRC_MOD_027</f>
        <v>129280</v>
      </c>
    </row>
    <row r="108" customFormat="false" ht="15" hidden="false" customHeight="false" outlineLevel="0" collapsed="false">
      <c r="A108" s="61" t="s">
        <v>559</v>
      </c>
      <c r="B108" s="61" t="s">
        <v>271</v>
      </c>
      <c r="C108" s="62" t="n">
        <f aca="false">SRC_MOD_028*SRC_MOD_022</f>
        <v>35136</v>
      </c>
    </row>
    <row r="109" customFormat="false" ht="15" hidden="false" customHeight="false" outlineLevel="0" collapsed="false">
      <c r="A109" s="60" t="s">
        <v>560</v>
      </c>
      <c r="B109" s="61" t="s">
        <v>314</v>
      </c>
      <c r="C109" s="62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0" t="s">
        <v>561</v>
      </c>
      <c r="B110" s="61" t="s">
        <v>292</v>
      </c>
      <c r="C110" s="62" t="n">
        <f aca="false">SRC_PERF_029</f>
        <v>800</v>
      </c>
    </row>
    <row r="111" customFormat="false" ht="15" hidden="false" customHeight="false" outlineLevel="0" collapsed="false">
      <c r="A111" s="60" t="s">
        <v>562</v>
      </c>
      <c r="B111" s="61" t="s">
        <v>292</v>
      </c>
      <c r="C111" s="62" t="n">
        <f aca="false">SRC_PERF_030</f>
        <v>3880</v>
      </c>
    </row>
    <row r="112" customFormat="false" ht="15" hidden="false" customHeight="false" outlineLevel="0" collapsed="false">
      <c r="A112" s="60" t="s">
        <v>309</v>
      </c>
      <c r="B112" s="61" t="s">
        <v>271</v>
      </c>
      <c r="C112" s="72" t="n">
        <f aca="false">(C100-C101)/(C102*(C104-C105))</f>
        <v>0.0419090428344791</v>
      </c>
    </row>
    <row r="113" customFormat="false" ht="15" hidden="false" customHeight="false" outlineLevel="0" collapsed="false">
      <c r="A113" s="60" t="s">
        <v>485</v>
      </c>
      <c r="B113" s="61" t="s">
        <v>271</v>
      </c>
      <c r="C113" s="74" t="n">
        <f aca="false">C101-C102*(C105+C106)*C112</f>
        <v>13.991935483871</v>
      </c>
    </row>
    <row r="114" customFormat="false" ht="15" hidden="false" customHeight="false" outlineLevel="0" collapsed="false">
      <c r="A114" s="60" t="s">
        <v>312</v>
      </c>
      <c r="B114" s="61" t="s">
        <v>271</v>
      </c>
      <c r="C114" s="67" t="n">
        <f aca="false">C100-C113</f>
        <v>657.008064516129</v>
      </c>
    </row>
    <row r="116" customFormat="false" ht="30" hidden="false" customHeight="true" outlineLevel="0" collapsed="false">
      <c r="A116" s="59" t="s">
        <v>563</v>
      </c>
      <c r="C116" s="84" t="s">
        <v>564</v>
      </c>
      <c r="D116" s="84" t="s">
        <v>565</v>
      </c>
      <c r="E116" s="84" t="s">
        <v>566</v>
      </c>
      <c r="F116" s="84" t="s">
        <v>567</v>
      </c>
    </row>
    <row r="117" customFormat="false" ht="15" hidden="false" customHeight="false" outlineLevel="0" collapsed="false">
      <c r="A117" s="60" t="s">
        <v>452</v>
      </c>
      <c r="B117" s="60"/>
      <c r="C117" s="66" t="n">
        <v>3</v>
      </c>
      <c r="D117" s="66" t="n">
        <v>2</v>
      </c>
      <c r="E117" s="66" t="n">
        <v>4</v>
      </c>
      <c r="F117" s="66" t="n">
        <v>3</v>
      </c>
    </row>
    <row r="118" customFormat="false" ht="15" hidden="false" customHeight="false" outlineLevel="0" collapsed="false">
      <c r="A118" s="60" t="s">
        <v>568</v>
      </c>
      <c r="B118" s="61" t="s">
        <v>372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</row>
    <row r="119" customFormat="false" ht="15" hidden="false" customHeight="false" outlineLevel="0" collapsed="false">
      <c r="A119" s="60" t="s">
        <v>569</v>
      </c>
      <c r="B119" s="60"/>
      <c r="C119" s="66" t="n">
        <v>1</v>
      </c>
      <c r="D119" s="66" t="n">
        <v>1</v>
      </c>
      <c r="E119" s="66" t="n">
        <v>1</v>
      </c>
      <c r="F119" s="66" t="n">
        <v>0</v>
      </c>
      <c r="J119" s="87" t="s">
        <v>570</v>
      </c>
    </row>
    <row r="120" customFormat="false" ht="26.85" hidden="false" customHeight="false" outlineLevel="0" collapsed="false">
      <c r="A120" s="61" t="s">
        <v>571</v>
      </c>
      <c r="B120" s="61" t="s">
        <v>572</v>
      </c>
      <c r="C120" s="62" t="n">
        <f aca="false">SRC_PERF_028/SRC_HW_047</f>
        <v>3520.91666666667</v>
      </c>
      <c r="D120" s="62" t="n">
        <f aca="false">SRC_PERF_025/SRC_HW_047</f>
        <v>3337.75</v>
      </c>
      <c r="E120" s="62" t="n">
        <f aca="false">SRC_PERF_027/SRC_HW_047</f>
        <v>9065.97222222222</v>
      </c>
      <c r="F120" s="62" t="n">
        <f aca="false">SRC_PERF_026</f>
        <v>8064</v>
      </c>
      <c r="J120" s="87" t="s">
        <v>573</v>
      </c>
    </row>
    <row r="121" customFormat="false" ht="30" hidden="false" customHeight="true" outlineLevel="0" collapsed="false">
      <c r="A121" s="60" t="s">
        <v>468</v>
      </c>
      <c r="C121" s="87" t="s">
        <v>574</v>
      </c>
      <c r="D121" s="87" t="s">
        <v>574</v>
      </c>
      <c r="E121" s="87" t="s">
        <v>575</v>
      </c>
      <c r="F121" s="87" t="s">
        <v>574</v>
      </c>
    </row>
    <row r="122" customFormat="false" ht="15" hidden="false" customHeight="false" outlineLevel="0" collapsed="false">
      <c r="A122" s="60" t="s">
        <v>171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</row>
    <row r="123" customFormat="false" ht="15" hidden="false" customHeight="false" outlineLevel="0" collapsed="false">
      <c r="A123" s="60" t="s">
        <v>472</v>
      </c>
      <c r="C123" s="73" t="s">
        <v>576</v>
      </c>
      <c r="D123" s="73" t="s">
        <v>576</v>
      </c>
      <c r="E123" s="73" t="s">
        <v>576</v>
      </c>
      <c r="F123" s="73" t="s">
        <v>576</v>
      </c>
    </row>
    <row r="124" customFormat="false" ht="15" hidden="false" customHeight="false" outlineLevel="0" collapsed="false">
      <c r="A124" s="60" t="s">
        <v>475</v>
      </c>
      <c r="B124" s="61" t="s">
        <v>577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</row>
    <row r="125" customFormat="false" ht="15" hidden="false" customHeight="false" outlineLevel="0" collapsed="false">
      <c r="A125" s="61" t="s">
        <v>578</v>
      </c>
      <c r="B125" s="61" t="s">
        <v>316</v>
      </c>
      <c r="C125" s="62" t="n">
        <f aca="false">INDEX(Spec_Rack!$C$25:$G$25,C117)</f>
        <v>288</v>
      </c>
      <c r="D125" s="62" t="n">
        <f aca="false">INDEX(Spec_Rack!$C$25:$G$25,D117)</f>
        <v>186</v>
      </c>
      <c r="E125" s="62" t="n">
        <f aca="false">INDEX(Spec_Rack!$C$25:$G$25,E117)</f>
        <v>288</v>
      </c>
      <c r="F125" s="62" t="n">
        <f aca="false">INDEX(Spec_Rack!$C$25:$G$25,F117)</f>
        <v>288</v>
      </c>
    </row>
    <row r="126" customFormat="false" ht="15" hidden="false" customHeight="false" outlineLevel="0" collapsed="false">
      <c r="A126" s="61" t="s">
        <v>478</v>
      </c>
      <c r="B126" s="61" t="s">
        <v>479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</row>
    <row r="127" customFormat="false" ht="15" hidden="false" customHeight="false" outlineLevel="0" collapsed="false">
      <c r="A127" s="61" t="s">
        <v>579</v>
      </c>
      <c r="B127" s="61" t="s">
        <v>479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</row>
    <row r="128" customFormat="false" ht="15" hidden="false" customHeight="false" outlineLevel="0" collapsed="false">
      <c r="A128" s="61" t="s">
        <v>580</v>
      </c>
      <c r="B128" s="60"/>
      <c r="C128" s="62" t="n">
        <f aca="false">INDEX(Spec_Rack!$C$29:$G$29,C117)</f>
        <v>32</v>
      </c>
      <c r="D128" s="62" t="n">
        <f aca="false">INDEX(Spec_Rack!$C$29:$G$29,D117)</f>
        <v>32</v>
      </c>
      <c r="E128" s="62" t="n">
        <f aca="false">INDEX(Spec_Rack!$C$29:$G$29,E117)</f>
        <v>32</v>
      </c>
      <c r="F128" s="62" t="n">
        <f aca="false">INDEX(Spec_Rack!$C$29:$G$29,F117)</f>
        <v>32</v>
      </c>
    </row>
    <row r="129" customFormat="false" ht="15" hidden="false" customHeight="false" outlineLevel="0" collapsed="false">
      <c r="A129" s="60" t="s">
        <v>581</v>
      </c>
      <c r="B129" s="60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</row>
    <row r="130" customFormat="false" ht="15" hidden="false" customHeight="false" outlineLevel="0" collapsed="false">
      <c r="A130" s="60" t="s">
        <v>582</v>
      </c>
      <c r="B130" s="60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</row>
    <row r="131" customFormat="false" ht="15" hidden="false" customHeight="false" outlineLevel="0" collapsed="false">
      <c r="A131" s="60" t="s">
        <v>496</v>
      </c>
      <c r="B131" s="61" t="s">
        <v>316</v>
      </c>
      <c r="C131" s="62" t="n">
        <f aca="false">C125*(1-Serving!$C$9)</f>
        <v>259.2</v>
      </c>
      <c r="D131" s="62" t="n">
        <f aca="false">D125*(1-Serving!$C$9)</f>
        <v>167.4</v>
      </c>
      <c r="E131" s="62" t="n">
        <f aca="false">E125*(1-Serving!$C$9)</f>
        <v>259.2</v>
      </c>
      <c r="F131" s="62" t="n">
        <f aca="false">F125*(1-Serving!$C$9)</f>
        <v>259.2</v>
      </c>
    </row>
    <row r="132" customFormat="false" ht="15" hidden="false" customHeight="false" outlineLevel="0" collapsed="false">
      <c r="A132" s="60" t="s">
        <v>583</v>
      </c>
      <c r="B132" s="60"/>
      <c r="C132" s="89" t="n">
        <f aca="false">MAX(1,CEILING($C$113*C130/(Serving!$C$10*C131),1))</f>
        <v>1</v>
      </c>
      <c r="D132" s="89" t="n">
        <f aca="false">MAX(1,CEILING($C$113*D130/(Serving!$C$10*D131),1))</f>
        <v>1</v>
      </c>
      <c r="E132" s="89" t="n">
        <f aca="false">MAX(1,CEILING($C$113*E130/(Serving!$C$10*E131),1))</f>
        <v>1</v>
      </c>
      <c r="F132" s="89" t="n">
        <f aca="false">MAX(1,CEILING($C$113*F130/(Serving!$C$10*F131),1))</f>
        <v>1</v>
      </c>
    </row>
    <row r="133" customFormat="false" ht="15" hidden="false" customHeight="false" outlineLevel="0" collapsed="false">
      <c r="A133" s="61" t="s">
        <v>498</v>
      </c>
      <c r="B133" s="60"/>
      <c r="C133" s="62" t="n">
        <f aca="false">MAX(C128,CEILING($C$114*C129/(Serving!$C$11*C131),1))</f>
        <v>32</v>
      </c>
      <c r="D133" s="62" t="n">
        <f aca="false">MAX(D128,CEILING($C$114*D129/(Serving!$C$11*D131),1))</f>
        <v>32</v>
      </c>
      <c r="E133" s="62" t="n">
        <f aca="false">MAX(E128,CEILING($C$114*E129/(Serving!$C$11*E131),1))</f>
        <v>32</v>
      </c>
      <c r="F133" s="62" t="n">
        <f aca="false">MAX(F128,CEILING($C$114*F129/(Serving!$C$11*F131),1))</f>
        <v>32</v>
      </c>
    </row>
    <row r="134" customFormat="false" ht="15" hidden="false" customHeight="false" outlineLevel="0" collapsed="false">
      <c r="A134" s="60" t="s">
        <v>499</v>
      </c>
      <c r="B134" s="61" t="s">
        <v>316</v>
      </c>
      <c r="C134" s="74" t="n">
        <f aca="false">$C$113*C130/C132+$C$114*C129/C133</f>
        <v>25.5409053679435</v>
      </c>
      <c r="D134" s="74" t="n">
        <f aca="false">$C$113*D130/D132+$C$114*D129/D133</f>
        <v>25.5409053679435</v>
      </c>
      <c r="E134" s="74" t="n">
        <f aca="false">$C$113*E130/E132+$C$114*E129/E133</f>
        <v>25.5409053679435</v>
      </c>
      <c r="F134" s="74" t="n">
        <f aca="false">$C$113*F130/F132+$C$114*F129/F133</f>
        <v>25.5409053679435</v>
      </c>
    </row>
    <row r="135" customFormat="false" ht="15" hidden="false" customHeight="false" outlineLevel="0" collapsed="false">
      <c r="A135" s="61" t="s">
        <v>379</v>
      </c>
      <c r="B135" s="61" t="s">
        <v>292</v>
      </c>
      <c r="C135" s="67" t="n">
        <f aca="false">$C$110+$C$111/2</f>
        <v>2740</v>
      </c>
      <c r="D135" s="67" t="n">
        <f aca="false">$C$110+$C$111/2</f>
        <v>2740</v>
      </c>
      <c r="E135" s="67" t="n">
        <f aca="false">$C$110+$C$111/2</f>
        <v>2740</v>
      </c>
      <c r="F135" s="67" t="n">
        <f aca="false">$C$110+$C$111/2</f>
        <v>2740</v>
      </c>
    </row>
    <row r="136" customFormat="false" ht="15" hidden="false" customHeight="false" outlineLevel="0" collapsed="false">
      <c r="A136" s="61" t="s">
        <v>492</v>
      </c>
      <c r="B136" s="61" t="s">
        <v>493</v>
      </c>
      <c r="C136" s="74" t="n">
        <f aca="false">(2*$C$101*1000000000+$C$109*C135)/1000000000</f>
        <v>87.6921088</v>
      </c>
      <c r="D136" s="74" t="n">
        <f aca="false">(2*$C$101*1000000000+$C$109*D135)/1000000000</f>
        <v>87.6921088</v>
      </c>
      <c r="E136" s="74" t="n">
        <f aca="false">(2*$C$101*1000000000+$C$109*E135)/1000000000</f>
        <v>87.6921088</v>
      </c>
      <c r="F136" s="74" t="n">
        <f aca="false">(2*$C$101*1000000000+$C$109*F135)/1000000000</f>
        <v>87.6921088</v>
      </c>
    </row>
    <row r="137" customFormat="false" ht="15" hidden="false" customHeight="false" outlineLevel="0" collapsed="false">
      <c r="A137" s="61" t="s">
        <v>495</v>
      </c>
      <c r="B137" s="61" t="s">
        <v>493</v>
      </c>
      <c r="C137" s="74" t="n">
        <f aca="false">(2*$C$101*1000000000+$C$109*$C$110/2)/1000000000</f>
        <v>75.998848</v>
      </c>
      <c r="D137" s="74" t="n">
        <f aca="false">(2*$C$101*1000000000+$C$109*$C$110/2)/1000000000</f>
        <v>75.998848</v>
      </c>
      <c r="E137" s="74" t="n">
        <f aca="false">(2*$C$101*1000000000+$C$109*$C$110/2)/1000000000</f>
        <v>75.998848</v>
      </c>
      <c r="F137" s="74" t="n">
        <f aca="false">(2*$C$101*1000000000+$C$109*$C$110/2)/1000000000</f>
        <v>75.998848</v>
      </c>
    </row>
    <row r="138" customFormat="false" ht="15" hidden="false" customHeight="false" outlineLevel="0" collapsed="false">
      <c r="A138" s="60" t="s">
        <v>584</v>
      </c>
      <c r="B138" s="60"/>
      <c r="C138" s="89" t="n">
        <f aca="false">Serving!$C$6*C119</f>
        <v>3</v>
      </c>
      <c r="D138" s="89" t="n">
        <f aca="false">Serving!$C$6*D119</f>
        <v>3</v>
      </c>
      <c r="E138" s="89" t="n">
        <f aca="false">Serving!$C$6*E119</f>
        <v>3</v>
      </c>
      <c r="F138" s="89" t="n">
        <f aca="false">Serving!$C$6*F119</f>
        <v>0</v>
      </c>
    </row>
    <row r="139" customFormat="false" ht="15" hidden="false" customHeight="false" outlineLevel="0" collapsed="false">
      <c r="A139" s="60" t="s">
        <v>585</v>
      </c>
      <c r="B139" s="60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</row>
    <row r="140" customFormat="false" ht="15" hidden="false" customHeight="false" outlineLevel="0" collapsed="false">
      <c r="A140" s="61" t="s">
        <v>528</v>
      </c>
      <c r="B140" s="61" t="s">
        <v>99</v>
      </c>
      <c r="C140" s="102" t="n">
        <f aca="false">INDEX($C$70:$G$70,C117)</f>
        <v>0.0357550334998836</v>
      </c>
      <c r="D140" s="102" t="n">
        <f aca="false">INDEX($C$70:$G$70,D117)</f>
        <v>0.0357550334998836</v>
      </c>
      <c r="E140" s="102" t="n">
        <f aca="false">INDEX($C$70:$G$70,E117)</f>
        <v>0.0357550334998836</v>
      </c>
      <c r="F140" s="102" t="n">
        <f aca="false">INDEX($C$70:$G$70,F117)</f>
        <v>0.0357550334998836</v>
      </c>
    </row>
    <row r="141" customFormat="false" ht="15" hidden="false" customHeight="false" outlineLevel="0" collapsed="false">
      <c r="A141" s="60" t="s">
        <v>529</v>
      </c>
      <c r="B141" s="61" t="s">
        <v>514</v>
      </c>
      <c r="C141" s="67" t="n">
        <f aca="false">INDEX($C$71:$G$71,C117)</f>
        <v>161.185338133698</v>
      </c>
      <c r="D141" s="67" t="n">
        <f aca="false">INDEX($C$71:$G$71,D117)</f>
        <v>161.185338133698</v>
      </c>
      <c r="E141" s="67" t="n">
        <f aca="false">INDEX($C$71:$G$71,E117)</f>
        <v>161.185338133698</v>
      </c>
      <c r="F141" s="67" t="n">
        <f aca="false">INDEX($C$71:$G$71,F117)</f>
        <v>161.185338133698</v>
      </c>
    </row>
    <row r="142" customFormat="false" ht="15" hidden="false" customHeight="false" outlineLevel="0" collapsed="false">
      <c r="A142" s="61" t="s">
        <v>530</v>
      </c>
      <c r="B142" s="61" t="s">
        <v>99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</row>
    <row r="143" customFormat="false" ht="15" hidden="false" customHeight="false" outlineLevel="0" collapsed="false">
      <c r="A143" s="61" t="s">
        <v>531</v>
      </c>
      <c r="B143" s="61" t="s">
        <v>372</v>
      </c>
      <c r="C143" s="67" t="n">
        <f aca="false">C142*C124*1000000000000000/(C137*1000000000)</f>
        <v>59211.4238363192</v>
      </c>
      <c r="D143" s="67" t="n">
        <f aca="false">D142*D124*1000000000000000/(D137*1000000000)</f>
        <v>39474.2825575461</v>
      </c>
      <c r="E143" s="67" t="n">
        <f aca="false">E142*E124*1000000000000000/(E137*1000000000)</f>
        <v>138159.988951411</v>
      </c>
      <c r="F143" s="67" t="n">
        <f aca="false">F142*F124*1000000000000000/(F137*1000000000)</f>
        <v>59211.4238363192</v>
      </c>
    </row>
    <row r="144" customFormat="false" ht="15" hidden="false" customHeight="false" outlineLevel="0" collapsed="false">
      <c r="A144" s="60" t="s">
        <v>532</v>
      </c>
      <c r="B144" s="61" t="s">
        <v>504</v>
      </c>
      <c r="C144" s="71" t="n">
        <f aca="false">C134/C126+($C$102+C138)*C141/1000</f>
        <v>13.5084748115496</v>
      </c>
      <c r="D144" s="71" t="n">
        <f aca="false">D134/D126+($C$102+D138)*D141/1000</f>
        <v>13.5084748115496</v>
      </c>
      <c r="E144" s="71" t="n">
        <f aca="false">E134/E126+($C$102+E138)*E141/1000</f>
        <v>11.4768118845541</v>
      </c>
      <c r="F144" s="71" t="n">
        <f aca="false">F134/F126+($C$102+F138)*F141/1000</f>
        <v>13.0249187971485</v>
      </c>
    </row>
    <row r="145" customFormat="false" ht="15" hidden="false" customHeight="false" outlineLevel="0" collapsed="false">
      <c r="A145" s="60" t="s">
        <v>533</v>
      </c>
      <c r="B145" s="61" t="s">
        <v>504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0.98103232150836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61" t="s">
        <v>537</v>
      </c>
      <c r="B146" s="60" t="s">
        <v>535</v>
      </c>
      <c r="C146" s="74" t="n">
        <f aca="false">MAX(0,MIN((1000*C139/C118-C144)/C145,(C131-C134)*1000000000/($C$108*C135)))</f>
        <v>37.4399364602001</v>
      </c>
      <c r="D146" s="74" t="n">
        <f aca="false">MAX(0,MIN((1000*D139/D118-D144)/D145,(D131-D134)*1000000000/($C$108*D135)))</f>
        <v>24.9599576401334</v>
      </c>
      <c r="E146" s="74" t="n">
        <f aca="false">MAX(0,MIN((1000*E139/E118-E144)/E145,(E131-E134)*1000000000/($C$108*E135)))</f>
        <v>94.6081554798903</v>
      </c>
      <c r="F146" s="74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61" t="s">
        <v>538</v>
      </c>
      <c r="B147" s="61" t="s">
        <v>372</v>
      </c>
      <c r="C147" s="67" t="n">
        <f aca="false">IF(C146&gt;0,C146*C139/((C144+C146*C145)/1000),0)</f>
        <v>2495.99576401334</v>
      </c>
      <c r="D147" s="67" t="n">
        <f aca="false">IF(D146&gt;0,D146*D139/((D144+D146*D145)/1000),0)</f>
        <v>1663.99717600889</v>
      </c>
      <c r="E147" s="67" t="n">
        <f aca="false">IF(E146&gt;0,E146*E139/((E144+E146*E145)/1000),0)</f>
        <v>6307.21036532602</v>
      </c>
      <c r="F147" s="67" t="n">
        <f aca="false">IF(F146&gt;0,F146*F139/((F144+F146*F145)/1000),0)</f>
        <v>5120.2503527006</v>
      </c>
    </row>
    <row r="148" customFormat="false" ht="15" hidden="false" customHeight="false" outlineLevel="0" collapsed="false">
      <c r="A148" s="60" t="s">
        <v>586</v>
      </c>
      <c r="B148" s="61" t="s">
        <v>372</v>
      </c>
      <c r="C148" s="67" t="n">
        <f aca="false">IF(C147&gt;0,$C$111/($C$110/C143+$C$111/C147),0)</f>
        <v>2474.48865345806</v>
      </c>
      <c r="D148" s="67" t="n">
        <f aca="false">IF(D147&gt;0,$C$111/($C$110/D143+$C$111/D147),0)</f>
        <v>1649.65910230537</v>
      </c>
      <c r="E148" s="67" t="n">
        <f aca="false">IF(E147&gt;0,$C$111/($C$110/E143+$C$111/E147),0)</f>
        <v>6248.39621214415</v>
      </c>
      <c r="F148" s="67" t="n">
        <f aca="false">IF(F147&gt;0,$C$111/($C$110/F143+$C$111/F147),0)</f>
        <v>5030.5570468308</v>
      </c>
    </row>
    <row r="149" customFormat="false" ht="15" hidden="false" customHeight="false" outlineLevel="0" collapsed="false">
      <c r="A149" s="60" t="s">
        <v>587</v>
      </c>
      <c r="B149" s="61" t="s">
        <v>103</v>
      </c>
      <c r="C149" s="104" t="n">
        <f aca="false">C148/C120</f>
        <v>0.702796711119185</v>
      </c>
      <c r="D149" s="104" t="n">
        <f aca="false">D148/D120</f>
        <v>0.494242858903564</v>
      </c>
      <c r="E149" s="104" t="n">
        <f aca="false">E148/E120</f>
        <v>0.689214136000581</v>
      </c>
      <c r="F149" s="104" t="n">
        <f aca="false">F148/F120</f>
        <v>0.623828998862946</v>
      </c>
    </row>
    <row r="150" customFormat="false" ht="26.85" hidden="false" customHeight="false" outlineLevel="0" collapsed="false">
      <c r="A150" s="61" t="s">
        <v>588</v>
      </c>
      <c r="C150" s="104" t="n">
        <f aca="false">E148/C148</f>
        <v>2.5251262330147</v>
      </c>
      <c r="J150" s="87" t="s">
        <v>589</v>
      </c>
    </row>
    <row r="151" customFormat="false" ht="15" hidden="false" customHeight="false" outlineLevel="0" collapsed="false">
      <c r="A151" s="61" t="s">
        <v>590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1" t="s">
        <v>591</v>
      </c>
      <c r="C152" s="76" t="n">
        <f aca="false">C148/D148</f>
        <v>1.5</v>
      </c>
      <c r="D152" s="76" t="n">
        <f aca="false">C120/D120</f>
        <v>1.05487728759394</v>
      </c>
      <c r="J152" s="93" t="s">
        <v>592</v>
      </c>
    </row>
    <row r="154" customFormat="false" ht="15" hidden="false" customHeight="false" outlineLevel="0" collapsed="false">
      <c r="A154" s="75" t="s">
        <v>593</v>
      </c>
      <c r="B154" s="69"/>
      <c r="C154" s="69"/>
      <c r="D154" s="69"/>
      <c r="E154" s="69"/>
      <c r="F154" s="69"/>
      <c r="G154" s="69"/>
      <c r="H154" s="69"/>
      <c r="I154" s="69"/>
      <c r="J154" s="69"/>
    </row>
    <row r="155" customFormat="false" ht="15" hidden="false" customHeight="false" outlineLevel="0" collapsed="false">
      <c r="A155" s="59" t="s">
        <v>171</v>
      </c>
      <c r="B155" s="59" t="s">
        <v>83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</row>
    <row r="156" customFormat="false" ht="52.2" hidden="false" customHeight="false" outlineLevel="0" collapsed="false">
      <c r="A156" s="60" t="s">
        <v>594</v>
      </c>
      <c r="B156" s="61" t="s">
        <v>103</v>
      </c>
      <c r="C156" s="76" t="n">
        <v>1</v>
      </c>
      <c r="D156" s="76" t="n">
        <v>1</v>
      </c>
      <c r="E156" s="76" t="n">
        <v>1</v>
      </c>
      <c r="F156" s="78" t="n">
        <v>0.75</v>
      </c>
      <c r="G156" s="76" t="n">
        <v>1</v>
      </c>
      <c r="H156" s="58" t="s">
        <v>595</v>
      </c>
      <c r="J156" s="87" t="s">
        <v>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7" t="s">
        <v>597</v>
      </c>
    </row>
    <row r="2" customFormat="false" ht="15" hidden="false" customHeight="false" outlineLevel="0" collapsed="false">
      <c r="A2" s="73" t="s">
        <v>598</v>
      </c>
    </row>
    <row r="4" customFormat="false" ht="30" hidden="false" customHeight="true" outlineLevel="0" collapsed="false">
      <c r="A4" s="84" t="s">
        <v>599</v>
      </c>
      <c r="B4" s="83" t="s">
        <v>600</v>
      </c>
      <c r="C4" s="83" t="s">
        <v>601</v>
      </c>
      <c r="D4" s="83" t="s">
        <v>602</v>
      </c>
      <c r="E4" s="83" t="s">
        <v>603</v>
      </c>
      <c r="F4" s="83" t="s">
        <v>604</v>
      </c>
      <c r="G4" s="83" t="s">
        <v>605</v>
      </c>
      <c r="H4" s="83" t="s">
        <v>606</v>
      </c>
      <c r="I4" s="83" t="s">
        <v>607</v>
      </c>
      <c r="J4" s="83" t="s">
        <v>608</v>
      </c>
      <c r="K4" s="83" t="s">
        <v>609</v>
      </c>
      <c r="L4" s="84" t="s">
        <v>610</v>
      </c>
      <c r="M4" s="83" t="s">
        <v>611</v>
      </c>
      <c r="N4" s="83" t="s">
        <v>612</v>
      </c>
      <c r="O4" s="83" t="s">
        <v>613</v>
      </c>
      <c r="P4" s="83" t="s">
        <v>614</v>
      </c>
      <c r="Q4" s="83" t="s">
        <v>615</v>
      </c>
      <c r="R4" s="83" t="s">
        <v>88</v>
      </c>
      <c r="S4" s="83" t="s">
        <v>616</v>
      </c>
      <c r="T4" s="83" t="s">
        <v>617</v>
      </c>
    </row>
    <row r="5" customFormat="false" ht="42" hidden="false" customHeight="true" outlineLevel="0" collapsed="false">
      <c r="A5" s="61" t="s">
        <v>618</v>
      </c>
      <c r="B5" s="6" t="s">
        <v>619</v>
      </c>
      <c r="C5" s="61" t="s">
        <v>620</v>
      </c>
      <c r="D5" s="61" t="s">
        <v>621</v>
      </c>
      <c r="E5" s="78" t="n">
        <v>1</v>
      </c>
      <c r="F5" s="78" t="n">
        <v>1</v>
      </c>
      <c r="G5" s="78" t="n">
        <v>1</v>
      </c>
      <c r="H5" s="66" t="n">
        <v>2</v>
      </c>
      <c r="I5" s="105" t="s">
        <v>622</v>
      </c>
      <c r="J5" s="66" t="n">
        <v>3</v>
      </c>
      <c r="K5" s="60" t="str">
        <f aca="false">IF(J5&gt;=CST_MainMin,"主流","非主流")</f>
        <v>主流</v>
      </c>
      <c r="L5" s="105"/>
      <c r="M5" s="105" t="s">
        <v>623</v>
      </c>
      <c r="N5" s="65" t="n">
        <v>1</v>
      </c>
      <c r="O5" s="66" t="n">
        <v>1</v>
      </c>
      <c r="P5" s="104" t="n">
        <f aca="false">IF(M5="是",1,1+O5*N5*(CHOOSE(H5,E5,F5,G5)-1))</f>
        <v>1</v>
      </c>
      <c r="Q5" s="58" t="s">
        <v>135</v>
      </c>
      <c r="R5" s="87" t="s">
        <v>624</v>
      </c>
      <c r="S5" s="87" t="s">
        <v>620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1" t="s">
        <v>625</v>
      </c>
      <c r="B6" s="5" t="s">
        <v>626</v>
      </c>
      <c r="C6" s="61" t="s">
        <v>620</v>
      </c>
      <c r="D6" s="61" t="s">
        <v>627</v>
      </c>
      <c r="E6" s="78" t="n">
        <v>1</v>
      </c>
      <c r="F6" s="78" t="n">
        <v>1</v>
      </c>
      <c r="G6" s="78" t="n">
        <v>1</v>
      </c>
      <c r="H6" s="66" t="n">
        <v>2</v>
      </c>
      <c r="I6" s="105" t="s">
        <v>622</v>
      </c>
      <c r="J6" s="66" t="n">
        <v>3</v>
      </c>
      <c r="K6" s="60" t="str">
        <f aca="false">IF(J6&gt;=CST_MainMin,"主流","非主流")</f>
        <v>主流</v>
      </c>
      <c r="L6" s="105"/>
      <c r="M6" s="105" t="s">
        <v>623</v>
      </c>
      <c r="N6" s="65" t="n">
        <v>1</v>
      </c>
      <c r="O6" s="66" t="n">
        <v>1</v>
      </c>
      <c r="P6" s="104" t="n">
        <f aca="false">IF(M6="是",1,1+O6*N6*(CHOOSE(H6,E6,F6,G6)-1))</f>
        <v>1</v>
      </c>
      <c r="Q6" s="58" t="s">
        <v>135</v>
      </c>
      <c r="R6" s="87" t="s">
        <v>628</v>
      </c>
      <c r="S6" s="87" t="s">
        <v>620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1" t="s">
        <v>629</v>
      </c>
      <c r="B7" s="6" t="s">
        <v>630</v>
      </c>
      <c r="C7" s="61" t="s">
        <v>620</v>
      </c>
      <c r="D7" s="61" t="s">
        <v>631</v>
      </c>
      <c r="E7" s="78" t="n">
        <v>1</v>
      </c>
      <c r="F7" s="78" t="n">
        <v>1</v>
      </c>
      <c r="G7" s="78" t="n">
        <v>1</v>
      </c>
      <c r="H7" s="66" t="n">
        <v>2</v>
      </c>
      <c r="I7" s="105" t="s">
        <v>622</v>
      </c>
      <c r="J7" s="66" t="n">
        <v>2</v>
      </c>
      <c r="K7" s="60" t="str">
        <f aca="false">IF(J7&gt;=CST_MainMin,"主流","非主流")</f>
        <v>主流</v>
      </c>
      <c r="L7" s="105"/>
      <c r="M7" s="105" t="s">
        <v>623</v>
      </c>
      <c r="N7" s="65" t="n">
        <v>1</v>
      </c>
      <c r="O7" s="66" t="n">
        <v>1</v>
      </c>
      <c r="P7" s="104" t="n">
        <f aca="false">IF(M7="是",1,1+O7*N7*(CHOOSE(H7,E7,F7,G7)-1))</f>
        <v>1</v>
      </c>
      <c r="Q7" s="58" t="s">
        <v>135</v>
      </c>
      <c r="R7" s="87" t="s">
        <v>632</v>
      </c>
      <c r="S7" s="87" t="s">
        <v>620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1" t="s">
        <v>633</v>
      </c>
      <c r="B8" s="6" t="s">
        <v>634</v>
      </c>
      <c r="C8" s="61" t="s">
        <v>620</v>
      </c>
      <c r="D8" s="61" t="s">
        <v>631</v>
      </c>
      <c r="E8" s="78" t="n">
        <v>1</v>
      </c>
      <c r="F8" s="78" t="n">
        <v>1</v>
      </c>
      <c r="G8" s="78" t="n">
        <v>1</v>
      </c>
      <c r="H8" s="66" t="n">
        <v>2</v>
      </c>
      <c r="I8" s="105" t="s">
        <v>622</v>
      </c>
      <c r="J8" s="66" t="n">
        <v>2</v>
      </c>
      <c r="K8" s="60" t="str">
        <f aca="false">IF(J8&gt;=CST_MainMin,"主流","非主流")</f>
        <v>主流</v>
      </c>
      <c r="L8" s="105"/>
      <c r="M8" s="105" t="s">
        <v>623</v>
      </c>
      <c r="N8" s="65" t="n">
        <v>1</v>
      </c>
      <c r="O8" s="66" t="n">
        <v>1</v>
      </c>
      <c r="P8" s="104" t="n">
        <f aca="false">IF(M8="是",1,1+O8*N8*(CHOOSE(H8,E8,F8,G8)-1))</f>
        <v>1</v>
      </c>
      <c r="Q8" s="58" t="s">
        <v>212</v>
      </c>
      <c r="R8" s="87" t="s">
        <v>635</v>
      </c>
      <c r="S8" s="87" t="s">
        <v>620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1" t="s">
        <v>636</v>
      </c>
      <c r="B9" s="6" t="s">
        <v>637</v>
      </c>
      <c r="C9" s="61" t="s">
        <v>620</v>
      </c>
      <c r="D9" s="61" t="s">
        <v>638</v>
      </c>
      <c r="E9" s="78" t="n">
        <v>1</v>
      </c>
      <c r="F9" s="78" t="n">
        <v>1</v>
      </c>
      <c r="G9" s="78" t="n">
        <v>1</v>
      </c>
      <c r="H9" s="66" t="n">
        <v>2</v>
      </c>
      <c r="I9" s="105" t="s">
        <v>622</v>
      </c>
      <c r="J9" s="66" t="n">
        <v>2</v>
      </c>
      <c r="K9" s="60" t="str">
        <f aca="false">IF(J9&gt;=CST_MainMin,"主流","非主流")</f>
        <v>主流</v>
      </c>
      <c r="L9" s="105"/>
      <c r="M9" s="105" t="s">
        <v>623</v>
      </c>
      <c r="N9" s="65" t="n">
        <v>1</v>
      </c>
      <c r="O9" s="66" t="n">
        <v>1</v>
      </c>
      <c r="P9" s="104" t="n">
        <f aca="false">IF(M9="是",1,1+O9*N9*(CHOOSE(H9,E9,F9,G9)-1))</f>
        <v>1</v>
      </c>
      <c r="Q9" s="58" t="s">
        <v>212</v>
      </c>
      <c r="R9" s="87" t="s">
        <v>639</v>
      </c>
      <c r="S9" s="87" t="s">
        <v>620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1" t="s">
        <v>640</v>
      </c>
      <c r="B10" s="6" t="s">
        <v>641</v>
      </c>
      <c r="C10" s="61" t="s">
        <v>642</v>
      </c>
      <c r="D10" s="60" t="s">
        <v>643</v>
      </c>
      <c r="E10" s="78" t="n">
        <v>0.7</v>
      </c>
      <c r="F10" s="78" t="n">
        <v>0.85</v>
      </c>
      <c r="G10" s="78" t="n">
        <v>1</v>
      </c>
      <c r="H10" s="66" t="n">
        <v>2</v>
      </c>
      <c r="I10" s="105" t="s">
        <v>644</v>
      </c>
      <c r="J10" s="66" t="n">
        <v>2</v>
      </c>
      <c r="K10" s="60" t="str">
        <f aca="false">IF(J10&gt;=CST_MainMin,"主流","非主流")</f>
        <v>主流</v>
      </c>
      <c r="L10" s="105"/>
      <c r="M10" s="105" t="s">
        <v>623</v>
      </c>
      <c r="N10" s="65" t="n">
        <v>1</v>
      </c>
      <c r="O10" s="66" t="n">
        <v>0</v>
      </c>
      <c r="P10" s="104" t="n">
        <f aca="false">IF(M10="是",1,1+O10*N10*(CHOOSE(H10,E10,F10,G10)-1))</f>
        <v>1</v>
      </c>
      <c r="Q10" s="58" t="s">
        <v>212</v>
      </c>
      <c r="R10" s="87" t="s">
        <v>645</v>
      </c>
      <c r="S10" s="93" t="s">
        <v>646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1" t="s">
        <v>647</v>
      </c>
      <c r="B11" s="6" t="s">
        <v>648</v>
      </c>
      <c r="C11" s="61" t="s">
        <v>649</v>
      </c>
      <c r="D11" s="60" t="s">
        <v>650</v>
      </c>
      <c r="E11" s="78" t="n">
        <v>1.5</v>
      </c>
      <c r="F11" s="78" t="n">
        <v>2</v>
      </c>
      <c r="G11" s="78" t="n">
        <v>3</v>
      </c>
      <c r="H11" s="66" t="n">
        <v>2</v>
      </c>
      <c r="I11" s="105" t="s">
        <v>644</v>
      </c>
      <c r="J11" s="66" t="n">
        <v>1</v>
      </c>
      <c r="K11" s="60" t="str">
        <f aca="false">IF(J11&gt;=CST_MainMin,"主流","非主流")</f>
        <v>非主流</v>
      </c>
      <c r="L11" s="105"/>
      <c r="M11" s="105" t="s">
        <v>651</v>
      </c>
      <c r="N11" s="65" t="n">
        <v>1</v>
      </c>
      <c r="O11" s="66" t="n">
        <v>0</v>
      </c>
      <c r="P11" s="104" t="n">
        <f aca="false">IF(M11="是",1,1+O11*N11*(CHOOSE(H11,E11,F11,G11)-1))</f>
        <v>1</v>
      </c>
      <c r="Q11" s="58" t="s">
        <v>212</v>
      </c>
      <c r="R11" s="93" t="s">
        <v>652</v>
      </c>
      <c r="S11" s="93" t="s">
        <v>653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1" t="s">
        <v>654</v>
      </c>
      <c r="B12" s="6" t="s">
        <v>655</v>
      </c>
      <c r="C12" s="61" t="s">
        <v>656</v>
      </c>
      <c r="D12" s="60" t="s">
        <v>657</v>
      </c>
      <c r="E12" s="78" t="n">
        <v>1.5</v>
      </c>
      <c r="F12" s="78" t="n">
        <v>2</v>
      </c>
      <c r="G12" s="78" t="n">
        <v>4</v>
      </c>
      <c r="H12" s="66" t="n">
        <v>2</v>
      </c>
      <c r="I12" s="105" t="s">
        <v>658</v>
      </c>
      <c r="J12" s="66" t="n">
        <v>0</v>
      </c>
      <c r="K12" s="60" t="str">
        <f aca="false">IF(J12&gt;=CST_MainMin,"主流","非主流")</f>
        <v>非主流</v>
      </c>
      <c r="L12" s="105"/>
      <c r="M12" s="105" t="s">
        <v>651</v>
      </c>
      <c r="N12" s="65" t="n">
        <v>1</v>
      </c>
      <c r="O12" s="66" t="n">
        <v>0</v>
      </c>
      <c r="P12" s="104" t="n">
        <f aca="false">IF(M12="是",1,1+O12*N12*(CHOOSE(H12,E12,F12,G12)-1))</f>
        <v>1</v>
      </c>
      <c r="Q12" s="58" t="s">
        <v>100</v>
      </c>
      <c r="R12" s="93" t="s">
        <v>659</v>
      </c>
      <c r="S12" s="93" t="s">
        <v>660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1" t="s">
        <v>661</v>
      </c>
      <c r="B13" s="6" t="s">
        <v>662</v>
      </c>
      <c r="C13" s="61" t="s">
        <v>663</v>
      </c>
      <c r="D13" s="60" t="s">
        <v>664</v>
      </c>
      <c r="E13" s="78" t="n">
        <v>1.5</v>
      </c>
      <c r="F13" s="78" t="n">
        <v>2</v>
      </c>
      <c r="G13" s="78" t="n">
        <v>4</v>
      </c>
      <c r="H13" s="66" t="n">
        <v>2</v>
      </c>
      <c r="I13" s="105" t="s">
        <v>658</v>
      </c>
      <c r="J13" s="66" t="n">
        <v>0</v>
      </c>
      <c r="K13" s="60" t="str">
        <f aca="false">IF(J13&gt;=CST_MainMin,"主流","非主流")</f>
        <v>非主流</v>
      </c>
      <c r="L13" s="105"/>
      <c r="M13" s="105" t="s">
        <v>651</v>
      </c>
      <c r="N13" s="65" t="n">
        <v>1</v>
      </c>
      <c r="O13" s="66" t="n">
        <v>0</v>
      </c>
      <c r="P13" s="104" t="n">
        <f aca="false">IF(M13="是",1,1+O13*N13*(CHOOSE(H13,E13,F13,G13)-1))</f>
        <v>1</v>
      </c>
      <c r="Q13" s="58" t="s">
        <v>100</v>
      </c>
      <c r="R13" s="93" t="s">
        <v>665</v>
      </c>
      <c r="S13" s="93" t="s">
        <v>666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1" t="s">
        <v>667</v>
      </c>
      <c r="B14" s="5" t="s">
        <v>668</v>
      </c>
      <c r="C14" s="61" t="s">
        <v>669</v>
      </c>
      <c r="D14" s="61" t="s">
        <v>670</v>
      </c>
      <c r="E14" s="78" t="n">
        <v>1.2</v>
      </c>
      <c r="F14" s="78" t="n">
        <v>1.4</v>
      </c>
      <c r="G14" s="78" t="n">
        <v>1.6</v>
      </c>
      <c r="H14" s="66" t="n">
        <v>2</v>
      </c>
      <c r="I14" s="105" t="s">
        <v>622</v>
      </c>
      <c r="J14" s="89" t="n">
        <f aca="false">SRC_MOD_043+SRC_MOD_044+SRC_MOD_045+SRC_MOD_047</f>
        <v>4</v>
      </c>
      <c r="K14" s="60" t="str">
        <f aca="false">IF(J14&gt;=CST_MainMin,"主流","非主流")</f>
        <v>主流</v>
      </c>
      <c r="L14" s="105"/>
      <c r="M14" s="105" t="s">
        <v>623</v>
      </c>
      <c r="N14" s="65" t="n">
        <v>1</v>
      </c>
      <c r="O14" s="66" t="n">
        <v>0</v>
      </c>
      <c r="P14" s="104" t="n">
        <f aca="false">IF(M14="是",1,1+O14*N14*(CHOOSE(H14,E14,F14,G14)-1))</f>
        <v>1</v>
      </c>
      <c r="Q14" s="58" t="s">
        <v>212</v>
      </c>
      <c r="R14" s="93" t="s">
        <v>671</v>
      </c>
      <c r="S14" s="93" t="s">
        <v>672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1" t="s">
        <v>673</v>
      </c>
      <c r="B15" s="6" t="s">
        <v>674</v>
      </c>
      <c r="C15" s="61" t="s">
        <v>675</v>
      </c>
      <c r="D15" s="61" t="s">
        <v>486</v>
      </c>
      <c r="E15" s="78" t="n">
        <v>0.5</v>
      </c>
      <c r="F15" s="78" t="n">
        <v>0.5</v>
      </c>
      <c r="G15" s="78" t="n">
        <v>0.75</v>
      </c>
      <c r="H15" s="66" t="n">
        <v>2</v>
      </c>
      <c r="I15" s="105" t="s">
        <v>644</v>
      </c>
      <c r="J15" s="66" t="n">
        <v>1</v>
      </c>
      <c r="K15" s="60" t="str">
        <f aca="false">IF(J15&gt;=CST_MainMin,"主流","非主流")</f>
        <v>非主流</v>
      </c>
      <c r="L15" s="105"/>
      <c r="M15" s="105" t="s">
        <v>651</v>
      </c>
      <c r="N15" s="65" t="n">
        <v>1</v>
      </c>
      <c r="O15" s="66" t="n">
        <v>0</v>
      </c>
      <c r="P15" s="104" t="n">
        <f aca="false">IF(M15="是",1,1+O15*N15*(CHOOSE(H15,E15,F15,G15)-1))</f>
        <v>1</v>
      </c>
      <c r="Q15" s="58" t="s">
        <v>100</v>
      </c>
      <c r="R15" s="87" t="s">
        <v>676</v>
      </c>
      <c r="S15" s="93" t="s">
        <v>677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1" t="s">
        <v>678</v>
      </c>
      <c r="B16" s="6" t="s">
        <v>679</v>
      </c>
      <c r="C16" s="61" t="s">
        <v>680</v>
      </c>
      <c r="D16" s="61" t="s">
        <v>681</v>
      </c>
      <c r="E16" s="78" t="n">
        <v>1</v>
      </c>
      <c r="F16" s="78" t="n">
        <v>1</v>
      </c>
      <c r="G16" s="78" t="n">
        <v>1</v>
      </c>
      <c r="H16" s="66" t="n">
        <v>2</v>
      </c>
      <c r="I16" s="105" t="s">
        <v>682</v>
      </c>
      <c r="J16" s="66" t="n">
        <v>0</v>
      </c>
      <c r="K16" s="60" t="str">
        <f aca="false">IF(J16&gt;=CST_MainMin,"主流","非主流")</f>
        <v>非主流</v>
      </c>
      <c r="L16" s="105"/>
      <c r="M16" s="105" t="s">
        <v>651</v>
      </c>
      <c r="N16" s="65" t="n">
        <v>1</v>
      </c>
      <c r="O16" s="66" t="n">
        <v>0</v>
      </c>
      <c r="P16" s="104" t="n">
        <f aca="false">IF(M16="是",1,1+O16*N16*(CHOOSE(H16,E16,F16,G16)-1))</f>
        <v>1</v>
      </c>
      <c r="Q16" s="58" t="s">
        <v>100</v>
      </c>
      <c r="R16" s="87" t="s">
        <v>683</v>
      </c>
      <c r="S16" s="93" t="s">
        <v>684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0" t="s">
        <v>685</v>
      </c>
      <c r="B17" s="5" t="s">
        <v>686</v>
      </c>
      <c r="J17" s="66" t="n">
        <v>2</v>
      </c>
      <c r="Q17" s="58" t="s">
        <v>92</v>
      </c>
      <c r="R17" s="87" t="s">
        <v>687</v>
      </c>
    </row>
    <row r="18" customFormat="false" ht="15" hidden="false" customHeight="false" outlineLevel="0" collapsed="false">
      <c r="A18" s="68" t="s">
        <v>688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</row>
    <row r="19" customFormat="false" ht="15" hidden="false" customHeight="false" outlineLevel="0" collapsed="false">
      <c r="A19" s="59" t="s">
        <v>689</v>
      </c>
      <c r="B19" s="59" t="s">
        <v>690</v>
      </c>
      <c r="C19" s="59"/>
      <c r="D19" s="59" t="s">
        <v>691</v>
      </c>
      <c r="E19" s="59" t="s">
        <v>692</v>
      </c>
    </row>
    <row r="20" customFormat="false" ht="15" hidden="false" customHeight="false" outlineLevel="0" collapsed="false">
      <c r="A20" s="10" t="s">
        <v>693</v>
      </c>
      <c r="B20" s="61" t="s">
        <v>694</v>
      </c>
      <c r="D20" s="87" t="s">
        <v>695</v>
      </c>
      <c r="E20" s="106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663</v>
      </c>
      <c r="B21" s="60" t="s">
        <v>520</v>
      </c>
      <c r="D21" s="87" t="s">
        <v>696</v>
      </c>
      <c r="E21" s="106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656</v>
      </c>
      <c r="B22" s="60" t="s">
        <v>697</v>
      </c>
      <c r="D22" s="87" t="s">
        <v>698</v>
      </c>
      <c r="E22" s="106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675</v>
      </c>
      <c r="B23" s="61" t="s">
        <v>699</v>
      </c>
      <c r="D23" s="87" t="s">
        <v>700</v>
      </c>
      <c r="E23" s="106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701</v>
      </c>
      <c r="B24" s="60" t="s">
        <v>702</v>
      </c>
      <c r="D24" s="87" t="s">
        <v>703</v>
      </c>
      <c r="E24" s="106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649</v>
      </c>
      <c r="B25" s="60" t="s">
        <v>704</v>
      </c>
      <c r="D25" s="87" t="s">
        <v>705</v>
      </c>
      <c r="E25" s="106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706</v>
      </c>
      <c r="B26" s="60" t="s">
        <v>707</v>
      </c>
      <c r="D26" s="87" t="s">
        <v>708</v>
      </c>
      <c r="E26" s="106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642</v>
      </c>
      <c r="B27" s="60" t="s">
        <v>709</v>
      </c>
      <c r="D27" s="87" t="s">
        <v>710</v>
      </c>
      <c r="E27" s="106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669</v>
      </c>
      <c r="B28" s="61" t="s">
        <v>711</v>
      </c>
      <c r="D28" s="87" t="s">
        <v>712</v>
      </c>
      <c r="E28" s="106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713</v>
      </c>
      <c r="B29" s="60" t="s">
        <v>714</v>
      </c>
      <c r="D29" s="87" t="s">
        <v>715</v>
      </c>
      <c r="E29" s="106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680</v>
      </c>
      <c r="B30" s="61" t="s">
        <v>716</v>
      </c>
      <c r="D30" s="87" t="s">
        <v>717</v>
      </c>
      <c r="E30" s="106" t="n">
        <f aca="false">EXP(SUMPRODUCT(($C$5:$C$16="H_HAR")*LN($P$5:$P$16)))</f>
        <v>1</v>
      </c>
    </row>
    <row r="32" customFormat="false" ht="30" hidden="false" customHeight="true" outlineLevel="0" collapsed="false">
      <c r="A32" s="59" t="s">
        <v>718</v>
      </c>
      <c r="B32" s="107" t="s">
        <v>719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7" t="s">
        <v>720</v>
      </c>
    </row>
    <row r="2" customFormat="false" ht="15" hidden="false" customHeight="false" outlineLevel="0" collapsed="false">
      <c r="A2" s="58" t="s">
        <v>721</v>
      </c>
    </row>
    <row r="4" customFormat="false" ht="15" hidden="false" customHeight="false" outlineLevel="0" collapsed="false">
      <c r="A4" s="59" t="s">
        <v>171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9" t="s">
        <v>722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</row>
    <row r="6" customFormat="false" ht="15" hidden="false" customHeight="false" outlineLevel="0" collapsed="false">
      <c r="A6" s="59" t="s">
        <v>452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59" t="s">
        <v>723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</row>
    <row r="9" customFormat="false" ht="15" hidden="false" customHeight="false" outlineLevel="0" collapsed="false">
      <c r="A9" s="75" t="s">
        <v>724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725</v>
      </c>
      <c r="B10" s="61" t="s">
        <v>103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1" t="s">
        <v>726</v>
      </c>
      <c r="B11" s="61" t="s">
        <v>103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0" t="s">
        <v>727</v>
      </c>
      <c r="B12" s="61" t="s">
        <v>103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5" t="s">
        <v>728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customFormat="false" ht="15" hidden="false" customHeight="false" outlineLevel="0" collapsed="false">
      <c r="A14" s="60" t="s">
        <v>475</v>
      </c>
      <c r="B14" s="61" t="s">
        <v>476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1" t="s">
        <v>477</v>
      </c>
      <c r="B15" s="61" t="s">
        <v>729</v>
      </c>
      <c r="C15" s="62" t="n">
        <f aca="false">INDEX(Spec_Rack!$C$25:$G$25,C$6)</f>
        <v>80</v>
      </c>
      <c r="D15" s="62" t="n">
        <f aca="false">INDEX(Spec_Rack!$C$25:$G$25,D$6)</f>
        <v>80</v>
      </c>
      <c r="E15" s="62" t="n">
        <f aca="false">INDEX(Spec_Rack!$C$25:$G$25,E$6)</f>
        <v>80</v>
      </c>
      <c r="F15" s="62" t="n">
        <f aca="false">INDEX(Spec_Rack!$C$25:$G$25,F$6)</f>
        <v>186</v>
      </c>
      <c r="G15" s="62" t="n">
        <f aca="false">INDEX(Spec_Rack!$C$25:$G$25,G$6)</f>
        <v>186</v>
      </c>
      <c r="H15" s="62" t="n">
        <f aca="false">INDEX(Spec_Rack!$C$25:$G$25,H$6)</f>
        <v>186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1024</v>
      </c>
      <c r="P15" s="62" t="n">
        <f aca="false">INDEX(Spec_Rack!$C$25:$G$25,P$6)</f>
        <v>1024</v>
      </c>
      <c r="Q15" s="62" t="n">
        <f aca="false">INDEX(Spec_Rack!$C$25:$G$25,Q$6)</f>
        <v>1024</v>
      </c>
    </row>
    <row r="16" customFormat="false" ht="15" hidden="false" customHeight="false" outlineLevel="0" collapsed="false">
      <c r="A16" s="61" t="s">
        <v>478</v>
      </c>
      <c r="B16" s="61" t="s">
        <v>361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1" t="s">
        <v>730</v>
      </c>
      <c r="B17" s="61" t="s">
        <v>361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1" t="s">
        <v>232</v>
      </c>
      <c r="B18" s="61" t="s">
        <v>731</v>
      </c>
      <c r="C18" s="62" t="n">
        <f aca="false">INDEX(Spec_Rack!$C$29:$G$29,C$6)</f>
        <v>64</v>
      </c>
      <c r="D18" s="62" t="n">
        <f aca="false">INDEX(Spec_Rack!$C$29:$G$29,D$6)</f>
        <v>64</v>
      </c>
      <c r="E18" s="62" t="n">
        <f aca="false">INDEX(Spec_Rack!$C$29:$G$29,E$6)</f>
        <v>64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64</v>
      </c>
      <c r="P18" s="62" t="n">
        <f aca="false">INDEX(Spec_Rack!$C$29:$G$29,P$6)</f>
        <v>64</v>
      </c>
      <c r="Q18" s="62" t="n">
        <f aca="false">INDEX(Spec_Rack!$C$29:$G$29,Q$6)</f>
        <v>64</v>
      </c>
    </row>
    <row r="19" customFormat="false" ht="15" hidden="false" customHeight="false" outlineLevel="0" collapsed="false">
      <c r="A19" s="60" t="s">
        <v>732</v>
      </c>
      <c r="B19" s="61" t="s">
        <v>271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0" t="s">
        <v>733</v>
      </c>
      <c r="B20" s="61" t="s">
        <v>271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0" t="s">
        <v>734</v>
      </c>
      <c r="B21" s="61" t="s">
        <v>731</v>
      </c>
      <c r="C21" s="62" t="n">
        <f aca="false">INDEX(Spec_Rack!$C$32:$G$32,C$6)</f>
        <v>8</v>
      </c>
      <c r="D21" s="62" t="n">
        <f aca="false">INDEX(Spec_Rack!$C$32:$G$32,D$6)</f>
        <v>8</v>
      </c>
      <c r="E21" s="62" t="n">
        <f aca="false">INDEX(Spec_Rack!$C$32:$G$32,E$6)</f>
        <v>8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8</v>
      </c>
      <c r="P21" s="62" t="n">
        <f aca="false">INDEX(Spec_Rack!$C$32:$G$32,P$6)</f>
        <v>8</v>
      </c>
      <c r="Q21" s="62" t="n">
        <f aca="false">INDEX(Spec_Rack!$C$32:$G$32,Q$6)</f>
        <v>8</v>
      </c>
    </row>
    <row r="22" customFormat="false" ht="15" hidden="false" customHeight="false" outlineLevel="0" collapsed="false">
      <c r="A22" s="61" t="s">
        <v>184</v>
      </c>
      <c r="B22" s="60" t="s">
        <v>735</v>
      </c>
      <c r="C22" s="62" t="n">
        <f aca="false">INDEX(Spec_Rack!$C$6:$G$6,C$6)</f>
        <v>32</v>
      </c>
      <c r="D22" s="62" t="n">
        <f aca="false">INDEX(Spec_Rack!$C$6:$G$6,D$6)</f>
        <v>32</v>
      </c>
      <c r="E22" s="62" t="n">
        <f aca="false">INDEX(Spec_Rack!$C$6:$G$6,E$6)</f>
        <v>32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</row>
    <row r="23" customFormat="false" ht="15" hidden="false" customHeight="false" outlineLevel="0" collapsed="false">
      <c r="A23" s="61" t="s">
        <v>736</v>
      </c>
      <c r="B23" s="61" t="s">
        <v>737</v>
      </c>
      <c r="C23" s="62" t="n">
        <f aca="false">INDEX(Spec_Rack!$C$33:$G$33,C$6)</f>
        <v>700</v>
      </c>
      <c r="D23" s="62" t="n">
        <f aca="false">INDEX(Spec_Rack!$C$33:$G$33,D$6)</f>
        <v>700</v>
      </c>
      <c r="E23" s="62" t="n">
        <f aca="false">INDEX(Spec_Rack!$C$33:$G$33,E$6)</f>
        <v>700</v>
      </c>
      <c r="F23" s="62" t="n">
        <f aca="false">INDEX(Spec_Rack!$C$33:$G$33,F$6)</f>
        <v>1200</v>
      </c>
      <c r="G23" s="62" t="n">
        <f aca="false">INDEX(Spec_Rack!$C$33:$G$33,G$6)</f>
        <v>1200</v>
      </c>
      <c r="H23" s="62" t="n">
        <f aca="false">INDEX(Spec_Rack!$C$33:$G$33,H$6)</f>
        <v>1200</v>
      </c>
      <c r="I23" s="62" t="n">
        <f aca="false">INDEX(Spec_Rack!$C$33:$G$33,I$6)</f>
        <v>1400</v>
      </c>
      <c r="J23" s="62" t="n">
        <f aca="false">INDEX(Spec_Rack!$C$33:$G$33,J$6)</f>
        <v>1400</v>
      </c>
      <c r="K23" s="62" t="n">
        <f aca="false">INDEX(Spec_Rack!$C$33:$G$33,K$6)</f>
        <v>1400</v>
      </c>
      <c r="L23" s="62" t="n">
        <f aca="false">INDEX(Spec_Rack!$C$33:$G$33,L$6)</f>
        <v>1800</v>
      </c>
      <c r="M23" s="62" t="n">
        <f aca="false">INDEX(Spec_Rack!$C$33:$G$33,M$6)</f>
        <v>1800</v>
      </c>
      <c r="N23" s="62" t="n">
        <f aca="false">INDEX(Spec_Rack!$C$33:$G$33,N$6)</f>
        <v>1800</v>
      </c>
      <c r="O23" s="62" t="n">
        <f aca="false">INDEX(Spec_Rack!$C$33:$G$33,O$6)</f>
        <v>3600</v>
      </c>
      <c r="P23" s="62" t="n">
        <f aca="false">INDEX(Spec_Rack!$C$33:$G$33,P$6)</f>
        <v>3600</v>
      </c>
      <c r="Q23" s="62" t="n">
        <f aca="false">INDEX(Spec_Rack!$C$33:$G$33,Q$6)</f>
        <v>3600</v>
      </c>
    </row>
    <row r="24" customFormat="false" ht="15" hidden="false" customHeight="false" outlineLevel="0" collapsed="false">
      <c r="A24" s="61" t="s">
        <v>738</v>
      </c>
      <c r="B24" s="61" t="s">
        <v>739</v>
      </c>
      <c r="C24" s="62" t="n">
        <f aca="false">INDEX(Spec_Rack!$C$34:$G$34,C$6)</f>
        <v>31</v>
      </c>
      <c r="D24" s="62" t="n">
        <f aca="false">INDEX(Spec_Rack!$C$34:$G$34,D$6)</f>
        <v>31</v>
      </c>
      <c r="E24" s="62" t="n">
        <f aca="false">INDEX(Spec_Rack!$C$34:$G$34,E$6)</f>
        <v>31</v>
      </c>
      <c r="F24" s="62" t="n">
        <f aca="false">INDEX(Spec_Rack!$C$34:$G$34,F$6)</f>
        <v>25</v>
      </c>
      <c r="G24" s="62" t="n">
        <f aca="false">INDEX(Spec_Rack!$C$34:$G$34,G$6)</f>
        <v>25</v>
      </c>
      <c r="H24" s="62" t="n">
        <f aca="false">INDEX(Spec_Rack!$C$34:$G$34,H$6)</f>
        <v>25</v>
      </c>
      <c r="I24" s="62" t="n">
        <f aca="false">INDEX(Spec_Rack!$C$34:$G$34,I$6)</f>
        <v>25</v>
      </c>
      <c r="J24" s="62" t="n">
        <f aca="false">INDEX(Spec_Rack!$C$34:$G$34,J$6)</f>
        <v>25</v>
      </c>
      <c r="K24" s="62" t="n">
        <f aca="false">INDEX(Spec_Rack!$C$34:$G$34,K$6)</f>
        <v>25</v>
      </c>
      <c r="L24" s="62" t="n">
        <f aca="false">INDEX(Spec_Rack!$C$34:$G$34,L$6)</f>
        <v>20</v>
      </c>
      <c r="M24" s="62" t="n">
        <f aca="false">INDEX(Spec_Rack!$C$34:$G$34,M$6)</f>
        <v>20</v>
      </c>
      <c r="N24" s="62" t="n">
        <f aca="false">INDEX(Spec_Rack!$C$34:$G$34,N$6)</f>
        <v>20</v>
      </c>
      <c r="O24" s="62" t="n">
        <f aca="false">INDEX(Spec_Rack!$C$34:$G$34,O$6)</f>
        <v>18</v>
      </c>
      <c r="P24" s="62" t="n">
        <f aca="false">INDEX(Spec_Rack!$C$34:$G$34,P$6)</f>
        <v>18</v>
      </c>
      <c r="Q24" s="62" t="n">
        <f aca="false">INDEX(Spec_Rack!$C$34:$G$34,Q$6)</f>
        <v>18</v>
      </c>
    </row>
    <row r="25" customFormat="false" ht="15" hidden="false" customHeight="false" outlineLevel="0" collapsed="false">
      <c r="A25" s="60" t="s">
        <v>740</v>
      </c>
      <c r="B25" s="60" t="s">
        <v>741</v>
      </c>
      <c r="C25" s="62" t="n">
        <f aca="false">INDEX(DC_Cost!$C$12:$Q$12,3*(C$6-1)+2)/CTL_GW</f>
        <v>22439</v>
      </c>
      <c r="D25" s="62" t="n">
        <f aca="false">INDEX(DC_Cost!$C$12:$Q$12,3*(D$6-1)+2)/CTL_GW</f>
        <v>22439</v>
      </c>
      <c r="E25" s="62" t="n">
        <f aca="false">INDEX(DC_Cost!$C$12:$Q$12,3*(E$6-1)+2)/CTL_GW</f>
        <v>22439</v>
      </c>
      <c r="F25" s="62" t="n">
        <f aca="false">INDEX(DC_Cost!$C$12:$Q$12,3*(F$6-1)+2)/CTL_GW</f>
        <v>6969</v>
      </c>
      <c r="G25" s="62" t="n">
        <f aca="false">INDEX(DC_Cost!$C$12:$Q$12,3*(G$6-1)+2)/CTL_GW</f>
        <v>6969</v>
      </c>
      <c r="H25" s="62" t="n">
        <f aca="false">INDEX(DC_Cost!$C$12:$Q$12,3*(H$6-1)+2)/CTL_GW</f>
        <v>6969</v>
      </c>
      <c r="I25" s="62" t="n">
        <f aca="false">INDEX(DC_Cost!$C$12:$Q$12,3*(I$6-1)+2)/CTL_GW</f>
        <v>6764</v>
      </c>
      <c r="J25" s="62" t="n">
        <f aca="false">INDEX(DC_Cost!$C$12:$Q$12,3*(J$6-1)+2)/CTL_GW</f>
        <v>6764</v>
      </c>
      <c r="K25" s="62" t="n">
        <f aca="false">INDEX(DC_Cost!$C$12:$Q$12,3*(K$6-1)+2)/CTL_GW</f>
        <v>6764</v>
      </c>
      <c r="L25" s="62" t="n">
        <f aca="false">INDEX(DC_Cost!$C$12:$Q$12,3*(L$6-1)+2)/CTL_GW</f>
        <v>4052</v>
      </c>
      <c r="M25" s="62" t="n">
        <f aca="false">INDEX(DC_Cost!$C$12:$Q$12,3*(M$6-1)+2)/CTL_GW</f>
        <v>4052</v>
      </c>
      <c r="N25" s="62" t="n">
        <f aca="false">INDEX(DC_Cost!$C$12:$Q$12,3*(N$6-1)+2)/CTL_GW</f>
        <v>4052</v>
      </c>
      <c r="O25" s="62" t="n">
        <f aca="false">INDEX(DC_Cost!$C$12:$Q$12,3*(O$6-1)+2)/CTL_GW</f>
        <v>2705</v>
      </c>
      <c r="P25" s="62" t="n">
        <f aca="false">INDEX(DC_Cost!$C$12:$Q$12,3*(P$6-1)+2)/CTL_GW</f>
        <v>2705</v>
      </c>
      <c r="Q25" s="62" t="n">
        <f aca="false">INDEX(DC_Cost!$C$12:$Q$12,3*(Q$6-1)+2)/CTL_GW</f>
        <v>2705</v>
      </c>
    </row>
    <row r="26" customFormat="false" ht="15" hidden="false" customHeight="false" outlineLevel="0" collapsed="false">
      <c r="A26" s="60" t="s">
        <v>742</v>
      </c>
      <c r="B26" s="61" t="s">
        <v>743</v>
      </c>
      <c r="C26" s="62" t="n">
        <f aca="false">INDEX(DC_Cost!$C$11:$Q$11,3*(C$6-1)+2)</f>
        <v>41</v>
      </c>
      <c r="D26" s="62" t="n">
        <f aca="false">INDEX(DC_Cost!$C$11:$Q$11,3*(D$6-1)+2)</f>
        <v>41</v>
      </c>
      <c r="E26" s="62" t="n">
        <f aca="false">INDEX(DC_Cost!$C$11:$Q$11,3*(E$6-1)+2)</f>
        <v>41</v>
      </c>
      <c r="F26" s="62" t="n">
        <f aca="false">INDEX(DC_Cost!$C$11:$Q$11,3*(F$6-1)+2)</f>
        <v>132</v>
      </c>
      <c r="G26" s="62" t="n">
        <f aca="false">INDEX(DC_Cost!$C$11:$Q$11,3*(G$6-1)+2)</f>
        <v>132</v>
      </c>
      <c r="H26" s="62" t="n">
        <f aca="false">INDEX(DC_Cost!$C$11:$Q$11,3*(H$6-1)+2)</f>
        <v>132</v>
      </c>
      <c r="I26" s="62" t="n">
        <f aca="false">INDEX(DC_Cost!$C$11:$Q$11,3*(I$6-1)+2)</f>
        <v>136</v>
      </c>
      <c r="J26" s="62" t="n">
        <f aca="false">INDEX(DC_Cost!$C$11:$Q$11,3*(J$6-1)+2)</f>
        <v>136</v>
      </c>
      <c r="K26" s="62" t="n">
        <f aca="false">INDEX(DC_Cost!$C$11:$Q$11,3*(K$6-1)+2)</f>
        <v>136</v>
      </c>
      <c r="L26" s="62" t="n">
        <f aca="false">INDEX(DC_Cost!$C$11:$Q$11,3*(L$6-1)+2)</f>
        <v>227</v>
      </c>
      <c r="M26" s="62" t="n">
        <f aca="false">INDEX(DC_Cost!$C$11:$Q$11,3*(M$6-1)+2)</f>
        <v>227</v>
      </c>
      <c r="N26" s="62" t="n">
        <f aca="false">INDEX(DC_Cost!$C$11:$Q$11,3*(N$6-1)+2)</f>
        <v>227</v>
      </c>
      <c r="O26" s="62" t="n">
        <f aca="false">INDEX(DC_Cost!$C$11:$Q$11,3*(O$6-1)+2)</f>
        <v>340</v>
      </c>
      <c r="P26" s="62" t="n">
        <f aca="false">INDEX(DC_Cost!$C$11:$Q$11,3*(P$6-1)+2)</f>
        <v>340</v>
      </c>
      <c r="Q26" s="62" t="n">
        <f aca="false">INDEX(DC_Cost!$C$11:$Q$11,3*(Q$6-1)+2)</f>
        <v>340</v>
      </c>
    </row>
    <row r="27" customFormat="false" ht="15" hidden="false" customHeight="false" outlineLevel="0" collapsed="false">
      <c r="A27" s="75" t="s">
        <v>744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0" t="s">
        <v>274</v>
      </c>
      <c r="B28" s="61" t="s">
        <v>271</v>
      </c>
      <c r="C28" s="62" t="n">
        <f aca="false">INDEX(Arch!$C$7:$E$7,C$7)*INDEX(ARCH_ScaleGen,1,C$6)</f>
        <v>13</v>
      </c>
      <c r="D28" s="62" t="n">
        <f aca="false">INDEX(Arch!$C$7:$E$7,D$7)*INDEX(ARCH_ScaleGen,1,D$6)</f>
        <v>49</v>
      </c>
      <c r="E28" s="62" t="n">
        <f aca="false">INDEX(Arch!$C$7:$E$7,E$7)*INDEX(ARCH_ScaleGen,1,E$6)</f>
        <v>180</v>
      </c>
      <c r="F28" s="62" t="n">
        <f aca="false">INDEX(Arch!$C$7:$E$7,F$7)*INDEX(ARCH_ScaleGen,1,F$6)</f>
        <v>13</v>
      </c>
      <c r="G28" s="62" t="n">
        <f aca="false">INDEX(Arch!$C$7:$E$7,G$7)*INDEX(ARCH_ScaleGen,1,G$6)</f>
        <v>49</v>
      </c>
      <c r="H28" s="62" t="n">
        <f aca="false">INDEX(Arch!$C$7:$E$7,H$7)*INDEX(ARCH_ScaleGen,1,H$6)</f>
        <v>180</v>
      </c>
      <c r="I28" s="62" t="n">
        <f aca="false">INDEX(Arch!$C$7:$E$7,I$7)*INDEX(ARCH_ScaleGen,1,I$6)</f>
        <v>13</v>
      </c>
      <c r="J28" s="62" t="n">
        <f aca="false">INDEX(Arch!$C$7:$E$7,J$7)*INDEX(ARCH_ScaleGen,1,J$6)</f>
        <v>49</v>
      </c>
      <c r="K28" s="62" t="n">
        <f aca="false">INDEX(Arch!$C$7:$E$7,K$7)*INDEX(ARCH_ScaleGen,1,K$6)</f>
        <v>180</v>
      </c>
      <c r="L28" s="62" t="n">
        <f aca="false">INDEX(Arch!$C$7:$E$7,L$7)*INDEX(ARCH_ScaleGen,1,L$6)</f>
        <v>13</v>
      </c>
      <c r="M28" s="62" t="n">
        <f aca="false">INDEX(Arch!$C$7:$E$7,M$7)*INDEX(ARCH_ScaleGen,1,M$6)</f>
        <v>49</v>
      </c>
      <c r="N28" s="62" t="n">
        <f aca="false">INDEX(Arch!$C$7:$E$7,N$7)*INDEX(ARCH_ScaleGen,1,N$6)</f>
        <v>180</v>
      </c>
      <c r="O28" s="62" t="n">
        <f aca="false">INDEX(Arch!$C$7:$E$7,O$7)*INDEX(ARCH_ScaleGen,1,O$6)</f>
        <v>13</v>
      </c>
      <c r="P28" s="62" t="n">
        <f aca="false">INDEX(Arch!$C$7:$E$7,P$7)*INDEX(ARCH_ScaleGen,1,P$6)</f>
        <v>49</v>
      </c>
      <c r="Q28" s="62" t="n">
        <f aca="false">INDEX(Arch!$C$7:$E$7,Q$7)*INDEX(ARCH_ScaleGen,1,Q$6)</f>
        <v>180</v>
      </c>
    </row>
    <row r="29" customFormat="false" ht="15" hidden="false" customHeight="false" outlineLevel="0" collapsed="false">
      <c r="A29" s="60" t="s">
        <v>276</v>
      </c>
      <c r="B29" s="60" t="s">
        <v>277</v>
      </c>
      <c r="C29" s="62" t="n">
        <f aca="false">INDEX(Arch!$C$8:$E$8,C$7)</f>
        <v>43</v>
      </c>
      <c r="D29" s="62" t="n">
        <f aca="false">INDEX(Arch!$C$8:$E$8,D$7)</f>
        <v>61</v>
      </c>
      <c r="E29" s="62" t="n">
        <f aca="false">INDEX(Arch!$C$8:$E$8,E$7)</f>
        <v>100</v>
      </c>
      <c r="F29" s="62" t="n">
        <f aca="false">INDEX(Arch!$C$8:$E$8,F$7)</f>
        <v>43</v>
      </c>
      <c r="G29" s="62" t="n">
        <f aca="false">INDEX(Arch!$C$8:$E$8,G$7)</f>
        <v>61</v>
      </c>
      <c r="H29" s="62" t="n">
        <f aca="false">INDEX(Arch!$C$8:$E$8,H$7)</f>
        <v>100</v>
      </c>
      <c r="I29" s="62" t="n">
        <f aca="false">INDEX(Arch!$C$8:$E$8,I$7)</f>
        <v>43</v>
      </c>
      <c r="J29" s="62" t="n">
        <f aca="false">INDEX(Arch!$C$8:$E$8,J$7)</f>
        <v>61</v>
      </c>
      <c r="K29" s="62" t="n">
        <f aca="false">INDEX(Arch!$C$8:$E$8,K$7)</f>
        <v>100</v>
      </c>
      <c r="L29" s="62" t="n">
        <f aca="false">INDEX(Arch!$C$8:$E$8,L$7)</f>
        <v>43</v>
      </c>
      <c r="M29" s="62" t="n">
        <f aca="false">INDEX(Arch!$C$8:$E$8,M$7)</f>
        <v>61</v>
      </c>
      <c r="N29" s="62" t="n">
        <f aca="false">INDEX(Arch!$C$8:$E$8,N$7)</f>
        <v>100</v>
      </c>
      <c r="O29" s="62" t="n">
        <f aca="false">INDEX(Arch!$C$8:$E$8,O$7)</f>
        <v>43</v>
      </c>
      <c r="P29" s="62" t="n">
        <f aca="false">INDEX(Arch!$C$8:$E$8,P$7)</f>
        <v>61</v>
      </c>
      <c r="Q29" s="62" t="n">
        <f aca="false">INDEX(Arch!$C$8:$E$8,Q$7)</f>
        <v>100</v>
      </c>
    </row>
    <row r="30" customFormat="false" ht="15" hidden="false" customHeight="false" outlineLevel="0" collapsed="false">
      <c r="A30" s="61" t="s">
        <v>279</v>
      </c>
      <c r="B30" s="60"/>
      <c r="C30" s="62" t="n">
        <f aca="false">INDEX(Arch!$C$9:$E$9,C$7)</f>
        <v>4096</v>
      </c>
      <c r="D30" s="62" t="n">
        <f aca="false">INDEX(Arch!$C$9:$E$9,D$7)</f>
        <v>7168</v>
      </c>
      <c r="E30" s="62" t="n">
        <f aca="false">INDEX(Arch!$C$9:$E$9,E$7)</f>
        <v>12288</v>
      </c>
      <c r="F30" s="62" t="n">
        <f aca="false">INDEX(Arch!$C$9:$E$9,F$7)</f>
        <v>4096</v>
      </c>
      <c r="G30" s="62" t="n">
        <f aca="false">INDEX(Arch!$C$9:$E$9,G$7)</f>
        <v>7168</v>
      </c>
      <c r="H30" s="62" t="n">
        <f aca="false">INDEX(Arch!$C$9:$E$9,H$7)</f>
        <v>12288</v>
      </c>
      <c r="I30" s="62" t="n">
        <f aca="false">INDEX(Arch!$C$9:$E$9,I$7)</f>
        <v>4096</v>
      </c>
      <c r="J30" s="62" t="n">
        <f aca="false">INDEX(Arch!$C$9:$E$9,J$7)</f>
        <v>7168</v>
      </c>
      <c r="K30" s="62" t="n">
        <f aca="false">INDEX(Arch!$C$9:$E$9,K$7)</f>
        <v>12288</v>
      </c>
      <c r="L30" s="62" t="n">
        <f aca="false">INDEX(Arch!$C$9:$E$9,L$7)</f>
        <v>4096</v>
      </c>
      <c r="M30" s="62" t="n">
        <f aca="false">INDEX(Arch!$C$9:$E$9,M$7)</f>
        <v>7168</v>
      </c>
      <c r="N30" s="62" t="n">
        <f aca="false">INDEX(Arch!$C$9:$E$9,N$7)</f>
        <v>12288</v>
      </c>
      <c r="O30" s="62" t="n">
        <f aca="false">INDEX(Arch!$C$9:$E$9,O$7)</f>
        <v>4096</v>
      </c>
      <c r="P30" s="62" t="n">
        <f aca="false">INDEX(Arch!$C$9:$E$9,P$7)</f>
        <v>7168</v>
      </c>
      <c r="Q30" s="62" t="n">
        <f aca="false">INDEX(Arch!$C$9:$E$9,Q$7)</f>
        <v>12288</v>
      </c>
    </row>
    <row r="31" customFormat="false" ht="15" hidden="false" customHeight="false" outlineLevel="0" collapsed="false">
      <c r="A31" s="60" t="s">
        <v>745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16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16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16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16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16</v>
      </c>
    </row>
    <row r="32" customFormat="false" ht="15" hidden="false" customHeight="false" outlineLevel="0" collapsed="false">
      <c r="A32" s="60" t="s">
        <v>485</v>
      </c>
      <c r="B32" s="61" t="s">
        <v>271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0" t="s">
        <v>312</v>
      </c>
      <c r="B33" s="61" t="s">
        <v>271</v>
      </c>
      <c r="C33" s="62" t="n">
        <f aca="false">INDEX(Arch!$C$29:$E$29,C$7)*INDEX(ARCH_ScaleGen,1,C$6)</f>
        <v>278.588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3950.92741935484</v>
      </c>
      <c r="F33" s="62" t="n">
        <f aca="false">INDEX(Arch!$C$29:$E$29,F$7)*INDEX(ARCH_ScaleGen,1,F$6)</f>
        <v>278.588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3950.92741935484</v>
      </c>
      <c r="I33" s="62" t="n">
        <f aca="false">INDEX(Arch!$C$29:$E$29,I$7)*INDEX(ARCH_ScaleGen,1,I$6)</f>
        <v>278.588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3950.92741935484</v>
      </c>
      <c r="L33" s="62" t="n">
        <f aca="false">INDEX(Arch!$C$29:$E$29,L$7)*INDEX(ARCH_ScaleGen,1,L$6)</f>
        <v>278.588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3950.92741935484</v>
      </c>
      <c r="O33" s="62" t="n">
        <f aca="false">INDEX(Arch!$C$29:$E$29,O$7)*INDEX(ARCH_ScaleGen,1,O$6)</f>
        <v>278.588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1" t="s">
        <v>746</v>
      </c>
      <c r="B34" s="61" t="s">
        <v>271</v>
      </c>
      <c r="C34" s="62" t="n">
        <f aca="false">INDEX(Arch!$C$25:$E$25,C$7)*C11</f>
        <v>2795</v>
      </c>
      <c r="D34" s="62" t="n">
        <f aca="false">INDEX(Arch!$C$25:$E$25,D$7)*D11</f>
        <v>3965</v>
      </c>
      <c r="E34" s="62" t="n">
        <f aca="false">INDEX(Arch!$C$25:$E$25,E$7)*E11</f>
        <v>57600</v>
      </c>
      <c r="F34" s="62" t="n">
        <f aca="false">INDEX(Arch!$C$25:$E$25,F$7)*F11</f>
        <v>2795</v>
      </c>
      <c r="G34" s="62" t="n">
        <f aca="false">INDEX(Arch!$C$25:$E$25,G$7)*G11</f>
        <v>3965</v>
      </c>
      <c r="H34" s="62" t="n">
        <f aca="false">INDEX(Arch!$C$25:$E$25,H$7)*H11</f>
        <v>57600</v>
      </c>
      <c r="I34" s="62" t="n">
        <f aca="false">INDEX(Arch!$C$25:$E$25,I$7)*I11</f>
        <v>2795</v>
      </c>
      <c r="J34" s="62" t="n">
        <f aca="false">INDEX(Arch!$C$25:$E$25,J$7)*J11</f>
        <v>3965</v>
      </c>
      <c r="K34" s="62" t="n">
        <f aca="false">INDEX(Arch!$C$25:$E$25,K$7)*K11</f>
        <v>57600</v>
      </c>
      <c r="L34" s="62" t="n">
        <f aca="false">INDEX(Arch!$C$25:$E$25,L$7)*L11</f>
        <v>2795</v>
      </c>
      <c r="M34" s="62" t="n">
        <f aca="false">INDEX(Arch!$C$25:$E$25,M$7)*M11</f>
        <v>3965</v>
      </c>
      <c r="N34" s="62" t="n">
        <f aca="false">INDEX(Arch!$C$25:$E$25,N$7)*N11</f>
        <v>57600</v>
      </c>
      <c r="O34" s="62" t="n">
        <f aca="false">INDEX(Arch!$C$25:$E$25,O$7)*O11</f>
        <v>2795</v>
      </c>
      <c r="P34" s="62" t="n">
        <f aca="false">INDEX(Arch!$C$25:$E$25,P$7)*P11</f>
        <v>3965</v>
      </c>
      <c r="Q34" s="62" t="n">
        <f aca="false">INDEX(Arch!$C$25:$E$25,Q$7)*Q11</f>
        <v>57600</v>
      </c>
    </row>
    <row r="35" customFormat="false" ht="15" hidden="false" customHeight="false" outlineLevel="0" collapsed="false">
      <c r="A35" s="60" t="s">
        <v>487</v>
      </c>
      <c r="B35" s="61" t="s">
        <v>314</v>
      </c>
      <c r="C35" s="62" t="n">
        <f aca="false">INDEX(Arch!$C$30:$E$30,C$7)</f>
        <v>5636096</v>
      </c>
      <c r="D35" s="62" t="n">
        <f aca="false">INDEX(Arch!$C$30:$E$30,D$7)</f>
        <v>15990784</v>
      </c>
      <c r="E35" s="62" t="n">
        <f aca="false">INDEX(Arch!$C$30:$E$30,E$7)</f>
        <v>4915200</v>
      </c>
      <c r="F35" s="62" t="n">
        <f aca="false">INDEX(Arch!$C$30:$E$30,F$7)</f>
        <v>5636096</v>
      </c>
      <c r="G35" s="62" t="n">
        <f aca="false">INDEX(Arch!$C$30:$E$30,G$7)</f>
        <v>15990784</v>
      </c>
      <c r="H35" s="62" t="n">
        <f aca="false">INDEX(Arch!$C$30:$E$30,H$7)</f>
        <v>4915200</v>
      </c>
      <c r="I35" s="62" t="n">
        <f aca="false">INDEX(Arch!$C$30:$E$30,I$7)</f>
        <v>5636096</v>
      </c>
      <c r="J35" s="62" t="n">
        <f aca="false">INDEX(Arch!$C$30:$E$30,J$7)</f>
        <v>15990784</v>
      </c>
      <c r="K35" s="62" t="n">
        <f aca="false">INDEX(Arch!$C$30:$E$30,K$7)</f>
        <v>4915200</v>
      </c>
      <c r="L35" s="62" t="n">
        <f aca="false">INDEX(Arch!$C$30:$E$30,L$7)</f>
        <v>5636096</v>
      </c>
      <c r="M35" s="62" t="n">
        <f aca="false">INDEX(Arch!$C$30:$E$30,M$7)</f>
        <v>15990784</v>
      </c>
      <c r="N35" s="62" t="n">
        <f aca="false">INDEX(Arch!$C$30:$E$30,N$7)</f>
        <v>4915200</v>
      </c>
      <c r="O35" s="62" t="n">
        <f aca="false">INDEX(Arch!$C$30:$E$30,O$7)</f>
        <v>5636096</v>
      </c>
      <c r="P35" s="62" t="n">
        <f aca="false">INDEX(Arch!$C$30:$E$30,P$7)</f>
        <v>15990784</v>
      </c>
      <c r="Q35" s="62" t="n">
        <f aca="false">INDEX(Arch!$C$30:$E$30,Q$7)</f>
        <v>4915200</v>
      </c>
    </row>
    <row r="36" customFormat="false" ht="15" hidden="false" customHeight="false" outlineLevel="0" collapsed="false">
      <c r="A36" s="60" t="s">
        <v>289</v>
      </c>
      <c r="B36" s="61" t="s">
        <v>99</v>
      </c>
      <c r="C36" s="64" t="n">
        <f aca="false">INDEX(Arch!$C$16:$E$16,C$7)</f>
        <v>0.512</v>
      </c>
      <c r="D36" s="64" t="n">
        <f aca="false">INDEX(Arch!$C$16:$E$16,D$7)</f>
        <v>0.492</v>
      </c>
      <c r="E36" s="64" t="n">
        <f aca="false">INDEX(Arch!$C$16:$E$16,E$7)</f>
        <v>1</v>
      </c>
      <c r="F36" s="64" t="n">
        <f aca="false">INDEX(Arch!$C$16:$E$16,F$7)</f>
        <v>0.512</v>
      </c>
      <c r="G36" s="64" t="n">
        <f aca="false">INDEX(Arch!$C$16:$E$16,G$7)</f>
        <v>0.492</v>
      </c>
      <c r="H36" s="64" t="n">
        <f aca="false">INDEX(Arch!$C$16:$E$16,H$7)</f>
        <v>1</v>
      </c>
      <c r="I36" s="64" t="n">
        <f aca="false">INDEX(Arch!$C$16:$E$16,I$7)</f>
        <v>0.512</v>
      </c>
      <c r="J36" s="64" t="n">
        <f aca="false">INDEX(Arch!$C$16:$E$16,J$7)</f>
        <v>0.492</v>
      </c>
      <c r="K36" s="64" t="n">
        <f aca="false">INDEX(Arch!$C$16:$E$16,K$7)</f>
        <v>1</v>
      </c>
      <c r="L36" s="64" t="n">
        <f aca="false">INDEX(Arch!$C$16:$E$16,L$7)</f>
        <v>0.512</v>
      </c>
      <c r="M36" s="64" t="n">
        <f aca="false">INDEX(Arch!$C$16:$E$16,M$7)</f>
        <v>0.492</v>
      </c>
      <c r="N36" s="64" t="n">
        <f aca="false">INDEX(Arch!$C$16:$E$16,N$7)</f>
        <v>1</v>
      </c>
      <c r="O36" s="64" t="n">
        <f aca="false">INDEX(Arch!$C$16:$E$16,O$7)</f>
        <v>0.512</v>
      </c>
      <c r="P36" s="64" t="n">
        <f aca="false">INDEX(Arch!$C$16:$E$16,P$7)</f>
        <v>0.492</v>
      </c>
      <c r="Q36" s="64" t="n">
        <f aca="false">INDEX(Arch!$C$16:$E$16,Q$7)</f>
        <v>1</v>
      </c>
    </row>
    <row r="37" customFormat="false" ht="15" hidden="false" customHeight="false" outlineLevel="0" collapsed="false">
      <c r="A37" s="60" t="s">
        <v>747</v>
      </c>
      <c r="B37" s="61" t="s">
        <v>292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0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0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0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0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0</v>
      </c>
    </row>
    <row r="38" customFormat="false" ht="15" hidden="false" customHeight="false" outlineLevel="0" collapsed="false">
      <c r="A38" s="60" t="s">
        <v>294</v>
      </c>
      <c r="B38" s="61" t="s">
        <v>103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</v>
      </c>
    </row>
    <row r="39" customFormat="false" ht="15" hidden="false" customHeight="false" outlineLevel="0" collapsed="false">
      <c r="A39" s="60" t="s">
        <v>296</v>
      </c>
      <c r="B39" s="61" t="s">
        <v>292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0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0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0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0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0</v>
      </c>
    </row>
    <row r="40" customFormat="false" ht="15" hidden="false" customHeight="false" outlineLevel="0" collapsed="false">
      <c r="A40" s="75" t="s">
        <v>748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customFormat="false" ht="15" hidden="false" customHeight="false" outlineLevel="0" collapsed="false">
      <c r="A41" s="61" t="s">
        <v>371</v>
      </c>
      <c r="B41" s="61" t="s">
        <v>372</v>
      </c>
      <c r="C41" s="62" t="n">
        <f aca="false">INDEX(Serving!$C$21:$E$21,C$7)</f>
        <v>120</v>
      </c>
      <c r="D41" s="62" t="n">
        <f aca="false">INDEX(Serving!$C$21:$E$21,D$7)</f>
        <v>65</v>
      </c>
      <c r="E41" s="62" t="n">
        <f aca="false">INDEX(Serving!$C$21:$E$21,E$7)</f>
        <v>55</v>
      </c>
      <c r="F41" s="62" t="n">
        <f aca="false">INDEX(Serving!$C$21:$E$21,F$7)</f>
        <v>120</v>
      </c>
      <c r="G41" s="62" t="n">
        <f aca="false">INDEX(Serving!$C$21:$E$21,G$7)</f>
        <v>65</v>
      </c>
      <c r="H41" s="62" t="n">
        <f aca="false">INDEX(Serving!$C$21:$E$21,H$7)</f>
        <v>55</v>
      </c>
      <c r="I41" s="62" t="n">
        <f aca="false">INDEX(Serving!$C$21:$E$21,I$7)</f>
        <v>120</v>
      </c>
      <c r="J41" s="62" t="n">
        <f aca="false">INDEX(Serving!$C$21:$E$21,J$7)</f>
        <v>65</v>
      </c>
      <c r="K41" s="62" t="n">
        <f aca="false">INDEX(Serving!$C$21:$E$21,K$7)</f>
        <v>55</v>
      </c>
      <c r="L41" s="62" t="n">
        <f aca="false">INDEX(Serving!$C$21:$E$21,L$7)</f>
        <v>120</v>
      </c>
      <c r="M41" s="62" t="n">
        <f aca="false">INDEX(Serving!$C$21:$E$21,M$7)</f>
        <v>65</v>
      </c>
      <c r="N41" s="62" t="n">
        <f aca="false">INDEX(Serving!$C$21:$E$21,N$7)</f>
        <v>55</v>
      </c>
      <c r="O41" s="62" t="n">
        <f aca="false">INDEX(Serving!$C$21:$E$21,O$7)</f>
        <v>120</v>
      </c>
      <c r="P41" s="62" t="n">
        <f aca="false">INDEX(Serving!$C$21:$E$21,P$7)</f>
        <v>65</v>
      </c>
      <c r="Q41" s="62" t="n">
        <f aca="false">INDEX(Serving!$C$21:$E$21,Q$7)</f>
        <v>55</v>
      </c>
    </row>
    <row r="42" customFormat="false" ht="15" hidden="false" customHeight="false" outlineLevel="0" collapsed="false">
      <c r="A42" s="61" t="s">
        <v>749</v>
      </c>
      <c r="B42" s="61" t="s">
        <v>375</v>
      </c>
      <c r="C42" s="108" t="n">
        <f aca="false">INDEX(Serving!$C$22:$E$22,C$7)</f>
        <v>2</v>
      </c>
      <c r="D42" s="108" t="n">
        <f aca="false">INDEX(Serving!$C$22:$E$22,D$7)</f>
        <v>3</v>
      </c>
      <c r="E42" s="108" t="n">
        <f aca="false">INDEX(Serving!$C$22:$E$22,E$7)</f>
        <v>5</v>
      </c>
      <c r="F42" s="108" t="n">
        <f aca="false">INDEX(Serving!$C$22:$E$22,F$7)</f>
        <v>2</v>
      </c>
      <c r="G42" s="108" t="n">
        <f aca="false">INDEX(Serving!$C$22:$E$22,G$7)</f>
        <v>3</v>
      </c>
      <c r="H42" s="108" t="n">
        <f aca="false">INDEX(Serving!$C$22:$E$22,H$7)</f>
        <v>5</v>
      </c>
      <c r="I42" s="108" t="n">
        <f aca="false">INDEX(Serving!$C$22:$E$22,I$7)</f>
        <v>2</v>
      </c>
      <c r="J42" s="108" t="n">
        <f aca="false">INDEX(Serving!$C$22:$E$22,J$7)</f>
        <v>3</v>
      </c>
      <c r="K42" s="108" t="n">
        <f aca="false">INDEX(Serving!$C$22:$E$22,K$7)</f>
        <v>5</v>
      </c>
      <c r="L42" s="108" t="n">
        <f aca="false">INDEX(Serving!$C$22:$E$22,L$7)</f>
        <v>2</v>
      </c>
      <c r="M42" s="108" t="n">
        <f aca="false">INDEX(Serving!$C$22:$E$22,M$7)</f>
        <v>3</v>
      </c>
      <c r="N42" s="108" t="n">
        <f aca="false">INDEX(Serving!$C$22:$E$22,N$7)</f>
        <v>5</v>
      </c>
      <c r="O42" s="108" t="n">
        <f aca="false">INDEX(Serving!$C$22:$E$22,O$7)</f>
        <v>2</v>
      </c>
      <c r="P42" s="108" t="n">
        <f aca="false">INDEX(Serving!$C$22:$E$22,P$7)</f>
        <v>3</v>
      </c>
      <c r="Q42" s="108" t="n">
        <f aca="false">INDEX(Serving!$C$22:$E$22,Q$7)</f>
        <v>5</v>
      </c>
    </row>
    <row r="43" customFormat="false" ht="15" hidden="false" customHeight="false" outlineLevel="0" collapsed="false">
      <c r="A43" s="60" t="s">
        <v>750</v>
      </c>
      <c r="B43" s="61" t="s">
        <v>292</v>
      </c>
      <c r="C43" s="62" t="n">
        <f aca="false">INDEX(Serving!$C$23:$E$23,C$7)</f>
        <v>8192</v>
      </c>
      <c r="D43" s="62" t="n">
        <f aca="false">INDEX(Serving!$C$23:$E$23,D$7)</f>
        <v>16384</v>
      </c>
      <c r="E43" s="62" t="n">
        <f aca="false">INDEX(Serving!$C$23:$E$23,E$7)</f>
        <v>32768</v>
      </c>
      <c r="F43" s="62" t="n">
        <f aca="false">INDEX(Serving!$C$23:$E$23,F$7)</f>
        <v>8192</v>
      </c>
      <c r="G43" s="62" t="n">
        <f aca="false">INDEX(Serving!$C$23:$E$23,G$7)</f>
        <v>16384</v>
      </c>
      <c r="H43" s="62" t="n">
        <f aca="false">INDEX(Serving!$C$23:$E$23,H$7)</f>
        <v>32768</v>
      </c>
      <c r="I43" s="62" t="n">
        <f aca="false">INDEX(Serving!$C$23:$E$23,I$7)</f>
        <v>8192</v>
      </c>
      <c r="J43" s="62" t="n">
        <f aca="false">INDEX(Serving!$C$23:$E$23,J$7)</f>
        <v>16384</v>
      </c>
      <c r="K43" s="62" t="n">
        <f aca="false">INDEX(Serving!$C$23:$E$23,K$7)</f>
        <v>32768</v>
      </c>
      <c r="L43" s="62" t="n">
        <f aca="false">INDEX(Serving!$C$23:$E$23,L$7)</f>
        <v>8192</v>
      </c>
      <c r="M43" s="62" t="n">
        <f aca="false">INDEX(Serving!$C$23:$E$23,M$7)</f>
        <v>16384</v>
      </c>
      <c r="N43" s="62" t="n">
        <f aca="false">INDEX(Serving!$C$23:$E$23,N$7)</f>
        <v>32768</v>
      </c>
      <c r="O43" s="62" t="n">
        <f aca="false">INDEX(Serving!$C$23:$E$23,O$7)</f>
        <v>8192</v>
      </c>
      <c r="P43" s="62" t="n">
        <f aca="false">INDEX(Serving!$C$23:$E$23,P$7)</f>
        <v>16384</v>
      </c>
      <c r="Q43" s="62" t="n">
        <f aca="false">INDEX(Serving!$C$23:$E$23,Q$7)</f>
        <v>32768</v>
      </c>
    </row>
    <row r="44" customFormat="false" ht="15" hidden="false" customHeight="false" outlineLevel="0" collapsed="false">
      <c r="A44" s="60" t="s">
        <v>378</v>
      </c>
      <c r="B44" s="61" t="s">
        <v>292</v>
      </c>
      <c r="C44" s="62" t="n">
        <f aca="false">INDEX(Serving!$C$24:$E$24,C$7)</f>
        <v>1024</v>
      </c>
      <c r="D44" s="62" t="n">
        <f aca="false">INDEX(Serving!$C$24:$E$24,D$7)</f>
        <v>2048</v>
      </c>
      <c r="E44" s="62" t="n">
        <f aca="false">INDEX(Serving!$C$24:$E$24,E$7)</f>
        <v>4096</v>
      </c>
      <c r="F44" s="62" t="n">
        <f aca="false">INDEX(Serving!$C$24:$E$24,F$7)</f>
        <v>1024</v>
      </c>
      <c r="G44" s="62" t="n">
        <f aca="false">INDEX(Serving!$C$24:$E$24,G$7)</f>
        <v>2048</v>
      </c>
      <c r="H44" s="62" t="n">
        <f aca="false">INDEX(Serving!$C$24:$E$24,H$7)</f>
        <v>4096</v>
      </c>
      <c r="I44" s="62" t="n">
        <f aca="false">INDEX(Serving!$C$24:$E$24,I$7)</f>
        <v>1024</v>
      </c>
      <c r="J44" s="62" t="n">
        <f aca="false">INDEX(Serving!$C$24:$E$24,J$7)</f>
        <v>2048</v>
      </c>
      <c r="K44" s="62" t="n">
        <f aca="false">INDEX(Serving!$C$24:$E$24,K$7)</f>
        <v>4096</v>
      </c>
      <c r="L44" s="62" t="n">
        <f aca="false">INDEX(Serving!$C$24:$E$24,L$7)</f>
        <v>1024</v>
      </c>
      <c r="M44" s="62" t="n">
        <f aca="false">INDEX(Serving!$C$24:$E$24,M$7)</f>
        <v>2048</v>
      </c>
      <c r="N44" s="62" t="n">
        <f aca="false">INDEX(Serving!$C$24:$E$24,N$7)</f>
        <v>4096</v>
      </c>
      <c r="O44" s="62" t="n">
        <f aca="false">INDEX(Serving!$C$24:$E$24,O$7)</f>
        <v>1024</v>
      </c>
      <c r="P44" s="62" t="n">
        <f aca="false">INDEX(Serving!$C$24:$E$24,P$7)</f>
        <v>2048</v>
      </c>
      <c r="Q44" s="62" t="n">
        <f aca="false">INDEX(Serving!$C$24:$E$24,Q$7)</f>
        <v>4096</v>
      </c>
    </row>
    <row r="45" customFormat="false" ht="15" hidden="false" customHeight="false" outlineLevel="0" collapsed="false">
      <c r="A45" s="61" t="s">
        <v>379</v>
      </c>
      <c r="B45" s="61" t="s">
        <v>292</v>
      </c>
      <c r="C45" s="67" t="n">
        <f aca="false">C43+C44/2</f>
        <v>8704</v>
      </c>
      <c r="D45" s="67" t="n">
        <f aca="false">D43+D44/2</f>
        <v>17408</v>
      </c>
      <c r="E45" s="67" t="n">
        <f aca="false">E43+E44/2</f>
        <v>34816</v>
      </c>
      <c r="F45" s="67" t="n">
        <f aca="false">F43+F44/2</f>
        <v>8704</v>
      </c>
      <c r="G45" s="67" t="n">
        <f aca="false">G43+G44/2</f>
        <v>17408</v>
      </c>
      <c r="H45" s="67" t="n">
        <f aca="false">H43+H44/2</f>
        <v>34816</v>
      </c>
      <c r="I45" s="67" t="n">
        <f aca="false">I43+I44/2</f>
        <v>8704</v>
      </c>
      <c r="J45" s="67" t="n">
        <f aca="false">J43+J44/2</f>
        <v>17408</v>
      </c>
      <c r="K45" s="67" t="n">
        <f aca="false">K43+K44/2</f>
        <v>34816</v>
      </c>
      <c r="L45" s="67" t="n">
        <f aca="false">L43+L44/2</f>
        <v>8704</v>
      </c>
      <c r="M45" s="67" t="n">
        <f aca="false">M43+M44/2</f>
        <v>17408</v>
      </c>
      <c r="N45" s="67" t="n">
        <f aca="false">N43+N44/2</f>
        <v>34816</v>
      </c>
      <c r="O45" s="67" t="n">
        <f aca="false">O43+O44/2</f>
        <v>8704</v>
      </c>
      <c r="P45" s="67" t="n">
        <f aca="false">P43+P44/2</f>
        <v>17408</v>
      </c>
      <c r="Q45" s="67" t="n">
        <f aca="false">Q43+Q44/2</f>
        <v>34816</v>
      </c>
    </row>
    <row r="46" customFormat="false" ht="15" hidden="false" customHeight="false" outlineLevel="0" collapsed="false">
      <c r="A46" s="61" t="s">
        <v>380</v>
      </c>
      <c r="B46" s="61" t="s">
        <v>292</v>
      </c>
      <c r="C46" s="67" t="n">
        <f aca="false">C43/2</f>
        <v>4096</v>
      </c>
      <c r="D46" s="67" t="n">
        <f aca="false">D43/2</f>
        <v>8192</v>
      </c>
      <c r="E46" s="67" t="n">
        <f aca="false">E43/2</f>
        <v>16384</v>
      </c>
      <c r="F46" s="67" t="n">
        <f aca="false">F43/2</f>
        <v>4096</v>
      </c>
      <c r="G46" s="67" t="n">
        <f aca="false">G43/2</f>
        <v>8192</v>
      </c>
      <c r="H46" s="67" t="n">
        <f aca="false">H43/2</f>
        <v>16384</v>
      </c>
      <c r="I46" s="67" t="n">
        <f aca="false">I43/2</f>
        <v>4096</v>
      </c>
      <c r="J46" s="67" t="n">
        <f aca="false">J43/2</f>
        <v>8192</v>
      </c>
      <c r="K46" s="67" t="n">
        <f aca="false">K43/2</f>
        <v>16384</v>
      </c>
      <c r="L46" s="67" t="n">
        <f aca="false">L43/2</f>
        <v>4096</v>
      </c>
      <c r="M46" s="67" t="n">
        <f aca="false">M43/2</f>
        <v>8192</v>
      </c>
      <c r="N46" s="67" t="n">
        <f aca="false">N43/2</f>
        <v>16384</v>
      </c>
      <c r="O46" s="67" t="n">
        <f aca="false">O43/2</f>
        <v>4096</v>
      </c>
      <c r="P46" s="67" t="n">
        <f aca="false">P43/2</f>
        <v>8192</v>
      </c>
      <c r="Q46" s="67" t="n">
        <f aca="false">Q43/2</f>
        <v>16384</v>
      </c>
    </row>
    <row r="47" customFormat="false" ht="15" hidden="false" customHeight="false" outlineLevel="0" collapsed="false">
      <c r="A47" s="61" t="s">
        <v>751</v>
      </c>
      <c r="B47" s="61" t="s">
        <v>292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</row>
    <row r="48" customFormat="false" ht="15" hidden="false" customHeight="false" outlineLevel="0" collapsed="false">
      <c r="A48" s="60" t="s">
        <v>752</v>
      </c>
      <c r="B48" s="61" t="s">
        <v>99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</row>
    <row r="49" customFormat="false" ht="15" hidden="false" customHeight="false" outlineLevel="0" collapsed="false">
      <c r="A49" s="60" t="s">
        <v>753</v>
      </c>
      <c r="B49" s="61" t="s">
        <v>292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</row>
    <row r="50" customFormat="false" ht="15" hidden="false" customHeight="false" outlineLevel="0" collapsed="false">
      <c r="A50" s="60" t="s">
        <v>367</v>
      </c>
      <c r="B50" s="61" t="s">
        <v>103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1" t="s">
        <v>754</v>
      </c>
      <c r="B51" s="61" t="s">
        <v>99</v>
      </c>
      <c r="C51" s="109" t="n">
        <f aca="false">INDEX(Calib!$C$72:$G$72,C$6)*C50</f>
        <v>0.149924204143507</v>
      </c>
      <c r="D51" s="109" t="n">
        <f aca="false">INDEX(Calib!$C$72:$G$72,D$6)*D50</f>
        <v>0.149924204143507</v>
      </c>
      <c r="E51" s="109" t="n">
        <f aca="false">INDEX(Calib!$C$72:$G$72,E$6)*E50</f>
        <v>0.149924204143507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</row>
    <row r="52" customFormat="false" ht="15" hidden="false" customHeight="false" outlineLevel="0" collapsed="false">
      <c r="A52" s="61" t="s">
        <v>755</v>
      </c>
      <c r="B52" s="61" t="s">
        <v>103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1" t="s">
        <v>756</v>
      </c>
      <c r="B53" s="61" t="s">
        <v>99</v>
      </c>
      <c r="C53" s="110" t="n">
        <f aca="false">INDEX(Calib!$C$70:$G$70,C$6)*C52*C50</f>
        <v>0.0429060401998604</v>
      </c>
      <c r="D53" s="110" t="n">
        <f aca="false">INDEX(Calib!$C$70:$G$70,D$6)*D52*D50</f>
        <v>0.0429060401998604</v>
      </c>
      <c r="E53" s="110" t="n">
        <f aca="false">INDEX(Calib!$C$70:$G$70,E$6)*E52*E50</f>
        <v>0.0429060401998604</v>
      </c>
      <c r="F53" s="110" t="n">
        <f aca="false">INDEX(Calib!$C$70:$G$70,F$6)*F52*F50</f>
        <v>0.0357550334998836</v>
      </c>
      <c r="G53" s="110" t="n">
        <f aca="false">INDEX(Calib!$C$70:$G$70,G$6)*G52*G50</f>
        <v>0.0357550334998836</v>
      </c>
      <c r="H53" s="110" t="n">
        <f aca="false">INDEX(Calib!$C$70:$G$70,H$6)*H52*H50</f>
        <v>0.0357550334998836</v>
      </c>
      <c r="I53" s="110" t="n">
        <f aca="false">INDEX(Calib!$C$70:$G$70,I$6)*I52*I50</f>
        <v>0.0357550334998836</v>
      </c>
      <c r="J53" s="110" t="n">
        <f aca="false">INDEX(Calib!$C$70:$G$70,J$6)*J52*J50</f>
        <v>0.0357550334998836</v>
      </c>
      <c r="K53" s="110" t="n">
        <f aca="false">INDEX(Calib!$C$70:$G$70,K$6)*K52*K50</f>
        <v>0.0357550334998836</v>
      </c>
      <c r="L53" s="110" t="n">
        <f aca="false">INDEX(Calib!$C$70:$G$70,L$6)*L52*L50</f>
        <v>0.0357550334998836</v>
      </c>
      <c r="M53" s="110" t="n">
        <f aca="false">INDEX(Calib!$C$70:$G$70,M$6)*M52*M50</f>
        <v>0.0357550334998836</v>
      </c>
      <c r="N53" s="110" t="n">
        <f aca="false">INDEX(Calib!$C$70:$G$70,N$6)*N52*N50</f>
        <v>0.0357550334998836</v>
      </c>
      <c r="O53" s="110" t="n">
        <f aca="false">INDEX(Calib!$C$70:$G$70,O$6)*O52*O50</f>
        <v>0.0357550334998836</v>
      </c>
      <c r="P53" s="110" t="n">
        <f aca="false">INDEX(Calib!$C$70:$G$70,P$6)*P52*P50</f>
        <v>0.0357550334998836</v>
      </c>
      <c r="Q53" s="110" t="n">
        <f aca="false">INDEX(Calib!$C$70:$G$70,Q$6)*Q52*Q50</f>
        <v>0.0357550334998836</v>
      </c>
    </row>
    <row r="54" customFormat="false" ht="15" hidden="false" customHeight="false" outlineLevel="0" collapsed="false">
      <c r="A54" s="60" t="s">
        <v>757</v>
      </c>
      <c r="B54" s="61" t="s">
        <v>103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0" t="s">
        <v>758</v>
      </c>
      <c r="B55" s="61" t="s">
        <v>514</v>
      </c>
      <c r="C55" s="62" t="n">
        <f aca="false">INDEX(Calib!$C$71:$G$71,C$6)*C54/C50</f>
        <v>241.778007200547</v>
      </c>
      <c r="D55" s="62" t="n">
        <f aca="false">INDEX(Calib!$C$71:$G$71,D$6)*D54/D50</f>
        <v>241.778007200547</v>
      </c>
      <c r="E55" s="62" t="n">
        <f aca="false">INDEX(Calib!$C$71:$G$71,E$6)*E54/E50</f>
        <v>241.778007200547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161.185338133698</v>
      </c>
      <c r="J55" s="62" t="n">
        <f aca="false">INDEX(Calib!$C$71:$G$71,J$6)*J54/J50</f>
        <v>161.185338133698</v>
      </c>
      <c r="K55" s="62" t="n">
        <f aca="false">INDEX(Calib!$C$71:$G$71,K$6)*K54/K50</f>
        <v>161.185338133698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</row>
    <row r="56" customFormat="false" ht="15" hidden="false" customHeight="false" outlineLevel="0" collapsed="false">
      <c r="A56" s="61" t="s">
        <v>759</v>
      </c>
      <c r="B56" s="61" t="s">
        <v>99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</row>
    <row r="57" customFormat="false" ht="15" hidden="false" customHeight="false" outlineLevel="0" collapsed="false">
      <c r="A57" s="60" t="s">
        <v>760</v>
      </c>
      <c r="B57" s="61" t="s">
        <v>99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</row>
    <row r="58" customFormat="false" ht="15" hidden="false" customHeight="false" outlineLevel="0" collapsed="false">
      <c r="A58" s="60" t="s">
        <v>761</v>
      </c>
      <c r="B58" s="61" t="s">
        <v>99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</row>
    <row r="59" customFormat="false" ht="15" hidden="false" customHeight="false" outlineLevel="0" collapsed="false">
      <c r="A59" s="61" t="s">
        <v>762</v>
      </c>
      <c r="B59" s="61" t="s">
        <v>271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</row>
    <row r="60" customFormat="false" ht="15" hidden="false" customHeight="false" outlineLevel="0" collapsed="false">
      <c r="A60" s="61" t="s">
        <v>763</v>
      </c>
      <c r="B60" s="61" t="s">
        <v>99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</row>
    <row r="61" customFormat="false" ht="15" hidden="false" customHeight="false" outlineLevel="0" collapsed="false">
      <c r="A61" s="61" t="s">
        <v>764</v>
      </c>
      <c r="B61" s="61" t="s">
        <v>99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</row>
    <row r="62" customFormat="false" ht="15" hidden="false" customHeight="false" outlineLevel="0" collapsed="false">
      <c r="A62" s="60" t="s">
        <v>765</v>
      </c>
      <c r="B62" s="61" t="s">
        <v>479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5" t="s">
        <v>766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15" hidden="false" customHeight="false" outlineLevel="0" collapsed="false">
      <c r="A64" s="61" t="s">
        <v>767</v>
      </c>
      <c r="B64" s="61" t="s">
        <v>292</v>
      </c>
      <c r="C64" s="67" t="n">
        <f aca="false">C36*IF(C37=0,C45,MIN(C45,C37))+(1-C36)*(C45/C38+C39)</f>
        <v>2258.336</v>
      </c>
      <c r="D64" s="67" t="n">
        <f aca="false">D36*IF(D37=0,D45,MIN(D45,D37))+(1-D36)*(D45/D38+D39)</f>
        <v>2212.32</v>
      </c>
      <c r="E64" s="67" t="n">
        <f aca="false">E36*IF(E37=0,E45,MIN(E45,E37))+(1-E36)*(E45/E38+E39)</f>
        <v>34816</v>
      </c>
      <c r="F64" s="67" t="n">
        <f aca="false">F36*IF(F37=0,F45,MIN(F45,F37))+(1-F36)*(F45/F38+F39)</f>
        <v>2258.336</v>
      </c>
      <c r="G64" s="67" t="n">
        <f aca="false">G36*IF(G37=0,G45,MIN(G45,G37))+(1-G36)*(G45/G38+G39)</f>
        <v>2212.32</v>
      </c>
      <c r="H64" s="67" t="n">
        <f aca="false">H36*IF(H37=0,H45,MIN(H45,H37))+(1-H36)*(H45/H38+H39)</f>
        <v>34816</v>
      </c>
      <c r="I64" s="67" t="n">
        <f aca="false">I36*IF(I37=0,I45,MIN(I45,I37))+(1-I36)*(I45/I38+I39)</f>
        <v>2258.336</v>
      </c>
      <c r="J64" s="67" t="n">
        <f aca="false">J36*IF(J37=0,J45,MIN(J45,J37))+(1-J36)*(J45/J38+J39)</f>
        <v>2212.32</v>
      </c>
      <c r="K64" s="67" t="n">
        <f aca="false">K36*IF(K37=0,K45,MIN(K45,K37))+(1-K36)*(K45/K38+K39)</f>
        <v>34816</v>
      </c>
      <c r="L64" s="67" t="n">
        <f aca="false">L36*IF(L37=0,L45,MIN(L45,L37))+(1-L36)*(L45/L38+L39)</f>
        <v>2258.336</v>
      </c>
      <c r="M64" s="67" t="n">
        <f aca="false">M36*IF(M37=0,M45,MIN(M45,M37))+(1-M36)*(M45/M38+M39)</f>
        <v>2212.32</v>
      </c>
      <c r="N64" s="67" t="n">
        <f aca="false">N36*IF(N37=0,N45,MIN(N45,N37))+(1-N36)*(N45/N38+N39)</f>
        <v>34816</v>
      </c>
      <c r="O64" s="67" t="n">
        <f aca="false">O36*IF(O37=0,O45,MIN(O45,O37))+(1-O36)*(O45/O38+O39)</f>
        <v>2258.336</v>
      </c>
      <c r="P64" s="67" t="n">
        <f aca="false">P36*IF(P37=0,P45,MIN(P45,P37))+(1-P36)*(P45/P38+P39)</f>
        <v>2212.32</v>
      </c>
      <c r="Q64" s="67" t="n">
        <f aca="false">Q36*IF(Q37=0,Q45,MIN(Q45,Q37))+(1-Q36)*(Q45/Q38+Q39)</f>
        <v>34816</v>
      </c>
    </row>
    <row r="65" customFormat="false" ht="15" hidden="false" customHeight="false" outlineLevel="0" collapsed="false">
      <c r="A65" s="61" t="s">
        <v>492</v>
      </c>
      <c r="B65" s="61" t="s">
        <v>493</v>
      </c>
      <c r="C65" s="74" t="n">
        <f aca="false">(2*C28*1000000000+C35*C64)*C10/1000000000</f>
        <v>38.728198496256</v>
      </c>
      <c r="D65" s="74" t="n">
        <f aca="false">(2*D28*1000000000+D35*D64)*D10/1000000000</f>
        <v>133.37673125888</v>
      </c>
      <c r="E65" s="74" t="n">
        <f aca="false">(2*E28*1000000000+E35*E64)*E10/1000000000</f>
        <v>531.1276032</v>
      </c>
      <c r="F65" s="74" t="n">
        <f aca="false">(2*F28*1000000000+F35*F64)*F10/1000000000</f>
        <v>38.728198496256</v>
      </c>
      <c r="G65" s="74" t="n">
        <f aca="false">(2*G28*1000000000+G35*G64)*G10/1000000000</f>
        <v>133.37673125888</v>
      </c>
      <c r="H65" s="74" t="n">
        <f aca="false">(2*H28*1000000000+H35*H64)*H10/1000000000</f>
        <v>531.1276032</v>
      </c>
      <c r="I65" s="74" t="n">
        <f aca="false">(2*I28*1000000000+I35*I64)*I10/1000000000</f>
        <v>38.728198496256</v>
      </c>
      <c r="J65" s="74" t="n">
        <f aca="false">(2*J28*1000000000+J35*J64)*J10/1000000000</f>
        <v>133.37673125888</v>
      </c>
      <c r="K65" s="74" t="n">
        <f aca="false">(2*K28*1000000000+K35*K64)*K10/1000000000</f>
        <v>531.1276032</v>
      </c>
      <c r="L65" s="74" t="n">
        <f aca="false">(2*L28*1000000000+L35*L64)*L10/1000000000</f>
        <v>38.728198496256</v>
      </c>
      <c r="M65" s="74" t="n">
        <f aca="false">(2*M28*1000000000+M35*M64)*M10/1000000000</f>
        <v>133.37673125888</v>
      </c>
      <c r="N65" s="74" t="n">
        <f aca="false">(2*N28*1000000000+N35*N64)*N10/1000000000</f>
        <v>531.1276032</v>
      </c>
      <c r="O65" s="74" t="n">
        <f aca="false">(2*O28*1000000000+O35*O64)*O10/1000000000</f>
        <v>38.728198496256</v>
      </c>
      <c r="P65" s="74" t="n">
        <f aca="false">(2*P28*1000000000+P35*P64)*P10/1000000000</f>
        <v>133.37673125888</v>
      </c>
      <c r="Q65" s="74" t="n">
        <f aca="false">(2*Q28*1000000000+Q35*Q64)*Q10/1000000000</f>
        <v>531.1276032</v>
      </c>
    </row>
    <row r="66" customFormat="false" ht="15" hidden="false" customHeight="false" outlineLevel="0" collapsed="false">
      <c r="A66" s="61" t="s">
        <v>768</v>
      </c>
      <c r="B66" s="61" t="s">
        <v>292</v>
      </c>
      <c r="C66" s="67" t="n">
        <f aca="false">C36*IF(C37=0,C46,MIN(C46,C37))+(1-C36)*(C46/C38+C39)</f>
        <v>2175.232</v>
      </c>
      <c r="D66" s="67" t="n">
        <f aca="false">D36*IF(D37=0,D46,MIN(D46,D37))+(1-D36)*(D46/D38+D39)</f>
        <v>2175.744</v>
      </c>
      <c r="E66" s="67" t="n">
        <f aca="false">E36*IF(E37=0,E46,MIN(E46,E37))+(1-E36)*(E46/E38+E39)</f>
        <v>16384</v>
      </c>
      <c r="F66" s="67" t="n">
        <f aca="false">F36*IF(F37=0,F46,MIN(F46,F37))+(1-F36)*(F46/F38+F39)</f>
        <v>2175.232</v>
      </c>
      <c r="G66" s="67" t="n">
        <f aca="false">G36*IF(G37=0,G46,MIN(G46,G37))+(1-G36)*(G46/G38+G39)</f>
        <v>2175.744</v>
      </c>
      <c r="H66" s="67" t="n">
        <f aca="false">H36*IF(H37=0,H46,MIN(H46,H37))+(1-H36)*(H46/H38+H39)</f>
        <v>16384</v>
      </c>
      <c r="I66" s="67" t="n">
        <f aca="false">I36*IF(I37=0,I46,MIN(I46,I37))+(1-I36)*(I46/I38+I39)</f>
        <v>2175.232</v>
      </c>
      <c r="J66" s="67" t="n">
        <f aca="false">J36*IF(J37=0,J46,MIN(J46,J37))+(1-J36)*(J46/J38+J39)</f>
        <v>2175.744</v>
      </c>
      <c r="K66" s="67" t="n">
        <f aca="false">K36*IF(K37=0,K46,MIN(K46,K37))+(1-K36)*(K46/K38+K39)</f>
        <v>16384</v>
      </c>
      <c r="L66" s="67" t="n">
        <f aca="false">L36*IF(L37=0,L46,MIN(L46,L37))+(1-L36)*(L46/L38+L39)</f>
        <v>2175.232</v>
      </c>
      <c r="M66" s="67" t="n">
        <f aca="false">M36*IF(M37=0,M46,MIN(M46,M37))+(1-M36)*(M46/M38+M39)</f>
        <v>2175.744</v>
      </c>
      <c r="N66" s="67" t="n">
        <f aca="false">N36*IF(N37=0,N46,MIN(N46,N37))+(1-N36)*(N46/N38+N39)</f>
        <v>16384</v>
      </c>
      <c r="O66" s="67" t="n">
        <f aca="false">O36*IF(O37=0,O46,MIN(O46,O37))+(1-O36)*(O46/O38+O39)</f>
        <v>2175.232</v>
      </c>
      <c r="P66" s="67" t="n">
        <f aca="false">P36*IF(P37=0,P46,MIN(P46,P37))+(1-P36)*(P46/P38+P39)</f>
        <v>2175.744</v>
      </c>
      <c r="Q66" s="67" t="n">
        <f aca="false">Q36*IF(Q37=0,Q46,MIN(Q46,Q37))+(1-Q36)*(Q46/Q38+Q39)</f>
        <v>16384</v>
      </c>
    </row>
    <row r="67" customFormat="false" ht="15" hidden="false" customHeight="false" outlineLevel="0" collapsed="false">
      <c r="A67" s="61" t="s">
        <v>495</v>
      </c>
      <c r="B67" s="61" t="s">
        <v>493</v>
      </c>
      <c r="C67" s="74" t="n">
        <f aca="false">(2*C28*1000000000+C35*C66)*C10/1000000000</f>
        <v>38.259816374272</v>
      </c>
      <c r="D67" s="74" t="n">
        <f aca="false">(2*D28*1000000000+D35*D66)*D10/1000000000</f>
        <v>132.791852343296</v>
      </c>
      <c r="E67" s="74" t="n">
        <f aca="false">(2*E28*1000000000+E35*E66)*E10/1000000000</f>
        <v>440.5306368</v>
      </c>
      <c r="F67" s="74" t="n">
        <f aca="false">(2*F28*1000000000+F35*F66)*F10/1000000000</f>
        <v>38.259816374272</v>
      </c>
      <c r="G67" s="74" t="n">
        <f aca="false">(2*G28*1000000000+G35*G66)*G10/1000000000</f>
        <v>132.791852343296</v>
      </c>
      <c r="H67" s="74" t="n">
        <f aca="false">(2*H28*1000000000+H35*H66)*H10/1000000000</f>
        <v>440.5306368</v>
      </c>
      <c r="I67" s="74" t="n">
        <f aca="false">(2*I28*1000000000+I35*I66)*I10/1000000000</f>
        <v>38.259816374272</v>
      </c>
      <c r="J67" s="74" t="n">
        <f aca="false">(2*J28*1000000000+J35*J66)*J10/1000000000</f>
        <v>132.791852343296</v>
      </c>
      <c r="K67" s="74" t="n">
        <f aca="false">(2*K28*1000000000+K35*K66)*K10/1000000000</f>
        <v>440.5306368</v>
      </c>
      <c r="L67" s="74" t="n">
        <f aca="false">(2*L28*1000000000+L35*L66)*L10/1000000000</f>
        <v>38.259816374272</v>
      </c>
      <c r="M67" s="74" t="n">
        <f aca="false">(2*M28*1000000000+M35*M66)*M10/1000000000</f>
        <v>132.791852343296</v>
      </c>
      <c r="N67" s="74" t="n">
        <f aca="false">(2*N28*1000000000+N35*N66)*N10/1000000000</f>
        <v>440.5306368</v>
      </c>
      <c r="O67" s="74" t="n">
        <f aca="false">(2*O28*1000000000+O35*O66)*O10/1000000000</f>
        <v>38.259816374272</v>
      </c>
      <c r="P67" s="74" t="n">
        <f aca="false">(2*P28*1000000000+P35*P66)*P10/1000000000</f>
        <v>132.791852343296</v>
      </c>
      <c r="Q67" s="74" t="n">
        <f aca="false">(2*Q28*1000000000+Q35*Q66)*Q10/1000000000</f>
        <v>440.5306368</v>
      </c>
    </row>
    <row r="68" customFormat="false" ht="15" hidden="false" customHeight="false" outlineLevel="0" collapsed="false">
      <c r="A68" s="75" t="s">
        <v>769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customFormat="false" ht="15" hidden="false" customHeight="false" outlineLevel="0" collapsed="false">
      <c r="A69" s="60" t="s">
        <v>496</v>
      </c>
      <c r="B69" s="61" t="s">
        <v>316</v>
      </c>
      <c r="C69" s="67" t="n">
        <f aca="false">C15*(1-C56)</f>
        <v>72</v>
      </c>
      <c r="D69" s="67" t="n">
        <f aca="false">D15*(1-D56)</f>
        <v>72</v>
      </c>
      <c r="E69" s="67" t="n">
        <f aca="false">E15*(1-E56)</f>
        <v>72</v>
      </c>
      <c r="F69" s="67" t="n">
        <f aca="false">F15*(1-F56)</f>
        <v>167.4</v>
      </c>
      <c r="G69" s="67" t="n">
        <f aca="false">G15*(1-G56)</f>
        <v>167.4</v>
      </c>
      <c r="H69" s="67" t="n">
        <f aca="false">H15*(1-H56)</f>
        <v>167.4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921.6</v>
      </c>
      <c r="P69" s="67" t="n">
        <f aca="false">P15*(1-P56)</f>
        <v>921.6</v>
      </c>
      <c r="Q69" s="67" t="n">
        <f aca="false">Q15*(1-Q56)</f>
        <v>921.6</v>
      </c>
    </row>
    <row r="70" customFormat="false" ht="15" hidden="false" customHeight="false" outlineLevel="0" collapsed="false">
      <c r="A70" s="60" t="s">
        <v>770</v>
      </c>
      <c r="B70" s="60"/>
      <c r="C70" s="111" t="n">
        <f aca="false">MAX(1,CEILING(C32*C20/(C57*C69),1))</f>
        <v>1</v>
      </c>
      <c r="D70" s="111" t="n">
        <f aca="false">MAX(1,CEILING(D32*D20/(D57*D69),1))</f>
        <v>2</v>
      </c>
      <c r="E70" s="111" t="n">
        <f aca="false">MAX(1,CEILING(E32*E20/(E57*E69),1))</f>
        <v>4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2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</row>
    <row r="71" customFormat="false" ht="15" hidden="false" customHeight="false" outlineLevel="0" collapsed="false">
      <c r="A71" s="61" t="s">
        <v>771</v>
      </c>
      <c r="B71" s="61" t="s">
        <v>731</v>
      </c>
      <c r="C71" s="67" t="n">
        <f aca="false">MAX(C18,CEILING(C33*C19/(C58*C69),1))</f>
        <v>64</v>
      </c>
      <c r="D71" s="67" t="n">
        <f aca="false">MAX(D18,CEILING(D33*D19/(D58*D69),1))</f>
        <v>64</v>
      </c>
      <c r="E71" s="67" t="n">
        <f aca="false">MAX(E18,CEILING(E33*E19/(E58*E69),1))</f>
        <v>138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34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64</v>
      </c>
      <c r="P71" s="67" t="n">
        <f aca="false">MAX(P18,CEILING(P33*P19/(P58*P69),1))</f>
        <v>64</v>
      </c>
      <c r="Q71" s="67" t="n">
        <f aca="false">MAX(Q18,CEILING(Q33*Q19/(Q58*Q69),1))</f>
        <v>64</v>
      </c>
    </row>
    <row r="72" customFormat="false" ht="15" hidden="false" customHeight="false" outlineLevel="0" collapsed="false">
      <c r="A72" s="60" t="s">
        <v>499</v>
      </c>
      <c r="B72" s="61" t="s">
        <v>316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</row>
    <row r="73" customFormat="false" ht="15" hidden="false" customHeight="false" outlineLevel="0" collapsed="false">
      <c r="A73" s="60" t="s">
        <v>772</v>
      </c>
      <c r="B73" s="61" t="s">
        <v>99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</row>
    <row r="74" customFormat="false" ht="15" hidden="false" customHeight="false" outlineLevel="0" collapsed="false">
      <c r="A74" s="75" t="s">
        <v>773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</row>
    <row r="75" customFormat="false" ht="15" hidden="false" customHeight="false" outlineLevel="0" collapsed="false">
      <c r="A75" s="61" t="s">
        <v>774</v>
      </c>
      <c r="B75" s="61" t="s">
        <v>372</v>
      </c>
      <c r="C75" s="67" t="n">
        <f aca="false">C51*C14*1000000000000000/(C67*1000000000)</f>
        <v>7754.87255604074</v>
      </c>
      <c r="D75" s="67" t="n">
        <f aca="false">D51*D14*1000000000000000/(D67*1000000000)</f>
        <v>2234.32382909281</v>
      </c>
      <c r="E75" s="67" t="n">
        <f aca="false">E51*E14*1000000000000000/(E67*1000000000)</f>
        <v>673.50593855451</v>
      </c>
      <c r="F75" s="67" t="n">
        <f aca="false">F51*F14*1000000000000000/(F67*1000000000)</f>
        <v>78411.2493027375</v>
      </c>
      <c r="G75" s="67" t="n">
        <f aca="false">G51*G14*1000000000000000/(G67*1000000000)</f>
        <v>22591.7475135774</v>
      </c>
      <c r="H75" s="67" t="n">
        <f aca="false">H51*H14*1000000000000000/(H67*1000000000)</f>
        <v>6809.96904504055</v>
      </c>
      <c r="I75" s="67" t="n">
        <f aca="false">I51*I14*1000000000000000/(I67*1000000000)</f>
        <v>117616.873954106</v>
      </c>
      <c r="J75" s="67" t="n">
        <f aca="false">J51*J14*1000000000000000/(J67*1000000000)</f>
        <v>33887.6212703662</v>
      </c>
      <c r="K75" s="67" t="n">
        <f aca="false">K51*K14*1000000000000000/(K67*1000000000)</f>
        <v>10214.9535675608</v>
      </c>
      <c r="L75" s="67" t="n">
        <f aca="false">L51*L14*1000000000000000/(L67*1000000000)</f>
        <v>274439.372559581</v>
      </c>
      <c r="M75" s="67" t="n">
        <f aca="false">M51*M14*1000000000000000/(M67*1000000000)</f>
        <v>79071.116297521</v>
      </c>
      <c r="N75" s="67" t="n">
        <f aca="false">N51*N14*1000000000000000/(N67*1000000000)</f>
        <v>23834.8916576419</v>
      </c>
      <c r="O75" s="67" t="n">
        <f aca="false">O51*O14*1000000000000000/(O67*1000000000)</f>
        <v>548878.745119163</v>
      </c>
      <c r="P75" s="67" t="n">
        <f aca="false">P51*P14*1000000000000000/(P67*1000000000)</f>
        <v>158142.232595042</v>
      </c>
      <c r="Q75" s="67" t="n">
        <f aca="false">Q51*Q14*1000000000000000/(Q67*1000000000)</f>
        <v>47669.7833152838</v>
      </c>
    </row>
    <row r="76" customFormat="false" ht="15" hidden="false" customHeight="false" outlineLevel="0" collapsed="false">
      <c r="A76" s="61" t="s">
        <v>775</v>
      </c>
      <c r="B76" s="61" t="s">
        <v>375</v>
      </c>
      <c r="C76" s="76" t="n">
        <f aca="false">C43*C67*1000000000/(C51*C14*1000000000000000*C21)</f>
        <v>0.132046012697184</v>
      </c>
      <c r="D76" s="76" t="n">
        <f aca="false">D43*D67*1000000000/(D51*D14*1000000000000000*D21)</f>
        <v>0.916608404445805</v>
      </c>
      <c r="E76" s="76" t="n">
        <f aca="false">E43*E67*1000000000/(E51*E14*1000000000000000*E21)</f>
        <v>6.08160933041052</v>
      </c>
      <c r="F76" s="76" t="n">
        <f aca="false">F43*F67*1000000000/(F51*F14*1000000000000000*F21)</f>
        <v>0.026118701311503</v>
      </c>
      <c r="G76" s="76" t="n">
        <f aca="false">G43*G67*1000000000/(G51*G14*1000000000000000*G21)</f>
        <v>0.18130514239938</v>
      </c>
      <c r="H76" s="76" t="n">
        <f aca="false">H43*H67*1000000000/(H51*H14*1000000000000000*H21)</f>
        <v>1.2029423255552</v>
      </c>
      <c r="I76" s="76" t="n">
        <f aca="false">I43*I67*1000000000/(I51*I14*1000000000000000*I21)</f>
        <v>0.017412467541002</v>
      </c>
      <c r="J76" s="76" t="n">
        <f aca="false">J43*J67*1000000000/(J51*J14*1000000000000000*J21)</f>
        <v>0.12087009493292</v>
      </c>
      <c r="K76" s="76" t="n">
        <f aca="false">K43*K67*1000000000/(K51*K14*1000000000000000*K21)</f>
        <v>0.801961550370133</v>
      </c>
      <c r="L76" s="76" t="n">
        <f aca="false">L43*L67*1000000000/(L51*L14*1000000000000000*L21)</f>
        <v>0.00746248608900086</v>
      </c>
      <c r="M76" s="76" t="n">
        <f aca="false">M43*M67*1000000000/(M51*M14*1000000000000000*M21)</f>
        <v>0.0518014692569658</v>
      </c>
      <c r="N76" s="76" t="n">
        <f aca="false">N43*N67*1000000000/(N51*N14*1000000000000000*N21)</f>
        <v>0.343697807301486</v>
      </c>
      <c r="O76" s="76" t="n">
        <f aca="false">O43*O67*1000000000/(O51*O14*1000000000000000*O21)</f>
        <v>0.00186562152225022</v>
      </c>
      <c r="P76" s="76" t="n">
        <f aca="false">P43*P67*1000000000/(P51*P14*1000000000000000*P21)</f>
        <v>0.0129503673142414</v>
      </c>
      <c r="Q76" s="76" t="n">
        <f aca="false">Q43*Q67*1000000000/(Q51*Q14*1000000000000000*Q21)</f>
        <v>0.0859244518253714</v>
      </c>
    </row>
    <row r="77" customFormat="false" ht="15" hidden="false" customHeight="false" outlineLevel="0" collapsed="false">
      <c r="A77" s="61" t="s">
        <v>776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否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</row>
    <row r="78" customFormat="false" ht="15" hidden="false" customHeight="false" outlineLevel="0" collapsed="false">
      <c r="A78" s="75" t="s">
        <v>777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customFormat="false" ht="15" hidden="false" customHeight="false" outlineLevel="0" collapsed="false">
      <c r="A79" s="60" t="s">
        <v>778</v>
      </c>
      <c r="B79" s="61" t="s">
        <v>504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</row>
    <row r="80" customFormat="false" ht="15" hidden="false" customHeight="false" outlineLevel="0" collapsed="false">
      <c r="A80" s="60" t="s">
        <v>779</v>
      </c>
      <c r="B80" s="61" t="s">
        <v>504</v>
      </c>
      <c r="C80" s="72" t="n">
        <f aca="false">(C47+1)*C65/(C14*C53)/1000</f>
        <v>1.82441257643477</v>
      </c>
      <c r="D80" s="72" t="n">
        <f aca="false">(D47+1)*D65/(D14*D53)/1000</f>
        <v>6.28312690392727</v>
      </c>
      <c r="E80" s="72" t="n">
        <f aca="false">(E47+1)*E65/(E14*E53)/1000</f>
        <v>25.0204222399711</v>
      </c>
      <c r="F80" s="72" t="n">
        <f aca="false">(F47+1)*F65/(F14*F53)/1000</f>
        <v>0.43326149865173</v>
      </c>
      <c r="G80" s="72" t="n">
        <f aca="false">(G47+1)*G65/(G14*G53)/1000</f>
        <v>1.49211697714465</v>
      </c>
      <c r="H80" s="72" t="n">
        <f aca="false">(H47+1)*H65/(H14*H53)/1000</f>
        <v>5.94184987354833</v>
      </c>
      <c r="I80" s="72" t="n">
        <f aca="false">(I47+1)*I65/(I14*I53)/1000</f>
        <v>0.288840999101154</v>
      </c>
      <c r="J80" s="72" t="n">
        <f aca="false">(J47+1)*J65/(J14*J53)/1000</f>
        <v>0.994744651429766</v>
      </c>
      <c r="K80" s="72" t="n">
        <f aca="false">(K47+1)*K65/(K14*K53)/1000</f>
        <v>3.96123324903222</v>
      </c>
      <c r="L80" s="72" t="n">
        <f aca="false">(L47+1)*L65/(L14*L53)/1000</f>
        <v>0.12378899961478</v>
      </c>
      <c r="M80" s="72" t="n">
        <f aca="false">(M47+1)*M65/(M14*M53)/1000</f>
        <v>0.426319136327043</v>
      </c>
      <c r="N80" s="72" t="n">
        <f aca="false">(N47+1)*N65/(N14*N53)/1000</f>
        <v>1.69767139244238</v>
      </c>
      <c r="O80" s="72" t="n">
        <f aca="false">(O47+1)*O65/(O14*O53)/1000</f>
        <v>0.06189449980739</v>
      </c>
      <c r="P80" s="72" t="n">
        <f aca="false">(P47+1)*P65/(P14*P53)/1000</f>
        <v>0.213159568163521</v>
      </c>
      <c r="Q80" s="72" t="n">
        <f aca="false">(Q47+1)*Q65/(Q14*Q53)/1000</f>
        <v>0.848835696221191</v>
      </c>
    </row>
    <row r="81" customFormat="false" ht="15" hidden="false" customHeight="false" outlineLevel="0" collapsed="false">
      <c r="A81" s="60" t="s">
        <v>780</v>
      </c>
      <c r="B81" s="61" t="s">
        <v>504</v>
      </c>
      <c r="C81" s="72" t="n">
        <f aca="false">C34*C45/(C16*C60)/1000000000</f>
        <v>0.0103742771855011</v>
      </c>
      <c r="D81" s="72" t="n">
        <f aca="false">D34*D45/(D16*D60)/1000000000</f>
        <v>0.0294339957356077</v>
      </c>
      <c r="E81" s="72" t="n">
        <f aca="false">E34*E45/(E16*E60)/1000000000</f>
        <v>0.855181918976546</v>
      </c>
      <c r="F81" s="72" t="n">
        <f aca="false">F34*F45/(F16*F60)/1000000000</f>
        <v>0.00434422857142857</v>
      </c>
      <c r="G81" s="72" t="n">
        <f aca="false">G34*G45/(G16*G60)/1000000000</f>
        <v>0.0123254857142857</v>
      </c>
      <c r="H81" s="72" t="n">
        <f aca="false">H34*H45/(H16*H60)/1000000000</f>
        <v>0.358107428571429</v>
      </c>
      <c r="I81" s="72" t="n">
        <f aca="false">I34*I45/(I16*I60)/1000000000</f>
        <v>0.00434422857142857</v>
      </c>
      <c r="J81" s="72" t="n">
        <f aca="false">J34*J45/(J16*J60)/1000000000</f>
        <v>0.0123254857142857</v>
      </c>
      <c r="K81" s="72" t="n">
        <f aca="false">K34*K45/(K16*K60)/1000000000</f>
        <v>0.358107428571429</v>
      </c>
      <c r="L81" s="72" t="n">
        <f aca="false">L34*L45/(L16*L60)/1000000000</f>
        <v>0.00157971948051948</v>
      </c>
      <c r="M81" s="72" t="n">
        <f aca="false">M34*M45/(M16*M60)/1000000000</f>
        <v>0.00448199480519481</v>
      </c>
      <c r="N81" s="72" t="n">
        <f aca="false">N34*N45/(N16*N60)/1000000000</f>
        <v>0.130220883116883</v>
      </c>
      <c r="O81" s="72" t="n">
        <f aca="false">O34*O45/(O16*O60)/1000000000</f>
        <v>0.00108605714285714</v>
      </c>
      <c r="P81" s="72" t="n">
        <f aca="false">P34*P45/(P16*P60)/1000000000</f>
        <v>0.00308137142857143</v>
      </c>
      <c r="Q81" s="72" t="n">
        <f aca="false">Q34*Q45/(Q16*Q60)/1000000000</f>
        <v>0.0895268571428571</v>
      </c>
    </row>
    <row r="82" customFormat="false" ht="15" hidden="false" customHeight="false" outlineLevel="0" collapsed="false">
      <c r="A82" s="60" t="s">
        <v>781</v>
      </c>
      <c r="B82" s="61" t="s">
        <v>504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</row>
    <row r="83" customFormat="false" ht="15" hidden="false" customHeight="false" outlineLevel="0" collapsed="false">
      <c r="A83" s="60" t="s">
        <v>782</v>
      </c>
      <c r="B83" s="61" t="s">
        <v>504</v>
      </c>
      <c r="C83" s="72" t="n">
        <f aca="false">MAX(C80,C81,C82)</f>
        <v>1.82441257643477</v>
      </c>
      <c r="D83" s="72" t="n">
        <f aca="false">MAX(D80,D81,D82)</f>
        <v>6.28312690392727</v>
      </c>
      <c r="E83" s="72" t="n">
        <f aca="false">MAX(E80,E81,E82)</f>
        <v>25.0204222399711</v>
      </c>
      <c r="F83" s="72" t="n">
        <f aca="false">MAX(F80,F81,F82)</f>
        <v>0.43326149865173</v>
      </c>
      <c r="G83" s="72" t="n">
        <f aca="false">MAX(G80,G81,G82)</f>
        <v>1.49211697714465</v>
      </c>
      <c r="H83" s="72" t="n">
        <f aca="false">MAX(H80,H81,H82)</f>
        <v>5.94184987354833</v>
      </c>
      <c r="I83" s="72" t="n">
        <f aca="false">MAX(I80,I81,I82)</f>
        <v>0.288840999101154</v>
      </c>
      <c r="J83" s="72" t="n">
        <f aca="false">MAX(J80,J81,J82)</f>
        <v>0.994744651429766</v>
      </c>
      <c r="K83" s="72" t="n">
        <f aca="false">MAX(K80,K81,K82)</f>
        <v>3.96123324903222</v>
      </c>
      <c r="L83" s="72" t="n">
        <f aca="false">MAX(L80,L81,L82)</f>
        <v>0.12378899961478</v>
      </c>
      <c r="M83" s="72" t="n">
        <f aca="false">MAX(M80,M81,M82)</f>
        <v>0.426319136327043</v>
      </c>
      <c r="N83" s="72" t="n">
        <f aca="false">MAX(N80,N81,N82)</f>
        <v>1.69767139244238</v>
      </c>
      <c r="O83" s="72" t="n">
        <f aca="false">MAX(O80,O81,O82)</f>
        <v>0.06189449980739</v>
      </c>
      <c r="P83" s="72" t="n">
        <f aca="false">MAX(P80,P81,P82)</f>
        <v>0.213159568163521</v>
      </c>
      <c r="Q83" s="72" t="n">
        <f aca="false">MAX(Q80,Q81,Q82)</f>
        <v>0.848835696221191</v>
      </c>
    </row>
    <row r="84" customFormat="false" ht="15" hidden="false" customHeight="false" outlineLevel="0" collapsed="false">
      <c r="A84" s="60" t="s">
        <v>783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</row>
    <row r="85" customFormat="false" ht="15" hidden="false" customHeight="false" outlineLevel="0" collapsed="false">
      <c r="A85" s="61" t="s">
        <v>784</v>
      </c>
      <c r="B85" s="60" t="s">
        <v>508</v>
      </c>
      <c r="C85" s="74" t="n">
        <f aca="false">(1000*C49/C41-C79)/C83</f>
        <v>3.87611792257512</v>
      </c>
      <c r="D85" s="74" t="n">
        <f aca="false">(1000*D49/D41-D79)/D83</f>
        <v>2.08507597129004</v>
      </c>
      <c r="E85" s="74" t="n">
        <f aca="false">(1000*E49/E41-E79)/E83</f>
        <v>0.357429474994288</v>
      </c>
      <c r="F85" s="74" t="n">
        <f aca="false">(1000*F49/F41-F79)/F83</f>
        <v>28.6320755060154</v>
      </c>
      <c r="G85" s="74" t="n">
        <f aca="false">(1000*G49/G41-G79)/G83</f>
        <v>15.1781515239196</v>
      </c>
      <c r="H85" s="74" t="n">
        <f aca="false">(1000*H49/H41-H79)/H83</f>
        <v>3.0655172579234</v>
      </c>
      <c r="I85" s="74" t="n">
        <f aca="false">(1000*I49/I41-I79)/I83</f>
        <v>42.9481132590231</v>
      </c>
      <c r="J85" s="74" t="n">
        <f aca="false">(1000*J49/J41-J79)/J83</f>
        <v>22.7672272858794</v>
      </c>
      <c r="K85" s="74" t="n">
        <f aca="false">(1000*K49/K41-K79)/K83</f>
        <v>3.6950982485788</v>
      </c>
      <c r="L85" s="74" t="n">
        <f aca="false">(1000*L49/L41-L79)/L83</f>
        <v>106.836749836032</v>
      </c>
      <c r="M85" s="74" t="n">
        <f aca="false">(1000*M49/M41-M79)/M83</f>
        <v>62.0883339972837</v>
      </c>
      <c r="N85" s="74" t="n">
        <f aca="false">(1000*N49/N41-N79)/N83</f>
        <v>14.1753406636192</v>
      </c>
      <c r="O85" s="74" t="n">
        <f aca="false">(1000*O49/O41-O79)/O83</f>
        <v>217.275627746254</v>
      </c>
      <c r="P85" s="74" t="n">
        <f aca="false">(1000*P49/P41-P79)/P83</f>
        <v>129.413871231736</v>
      </c>
      <c r="Q85" s="74" t="n">
        <f aca="false">(1000*Q49/Q41-Q79)/Q83</f>
        <v>31.6124580709712</v>
      </c>
    </row>
    <row r="86" customFormat="false" ht="15" hidden="false" customHeight="false" outlineLevel="0" collapsed="false">
      <c r="A86" s="61" t="s">
        <v>785</v>
      </c>
      <c r="B86" s="60" t="s">
        <v>508</v>
      </c>
      <c r="C86" s="67" t="n">
        <f aca="false">(C69-C72)*1000000000/(C34*C45)</f>
        <v>2558.19965159029</v>
      </c>
      <c r="D86" s="67" t="n">
        <f aca="false">(D69-D72)*1000000000/(D34*D45)</f>
        <v>538.633530942984</v>
      </c>
      <c r="E86" s="67" t="n">
        <f aca="false">(E69-E72)*1000000000/(E34*E45)</f>
        <v>15.5090860617669</v>
      </c>
      <c r="F86" s="67" t="n">
        <f aca="false">(F69-F72)*1000000000/(F34*F45)</f>
        <v>6457.29248791911</v>
      </c>
      <c r="G86" s="67" t="n">
        <f aca="false">(G69-G72)*1000000000/(G34*G45)</f>
        <v>1729.19391665125</v>
      </c>
      <c r="H86" s="67" t="n">
        <f aca="false">(H69-H72)*1000000000/(H34*H45)</f>
        <v>38.6451779217801</v>
      </c>
      <c r="I86" s="67" t="n">
        <f aca="false">(I69-I72)*1000000000/(I34*I45)</f>
        <v>10230.7719154683</v>
      </c>
      <c r="J86" s="67" t="n">
        <f aca="false">(J69-J72)*1000000000/(J34*J45)</f>
        <v>3059.19076406613</v>
      </c>
      <c r="K86" s="67" t="n">
        <f aca="false">(K69-K72)*1000000000/(K34*K45)</f>
        <v>70.1493024197706</v>
      </c>
      <c r="L86" s="67" t="n">
        <f aca="false">(L69-L72)*1000000000/(L34*L45)</f>
        <v>10230.7719154683</v>
      </c>
      <c r="M86" s="67" t="n">
        <f aca="false">(M69-M72)*1000000000/(M34*M45)</f>
        <v>3059.19076406613</v>
      </c>
      <c r="N86" s="67" t="n">
        <f aca="false">(N69-N72)*1000000000/(N34*N45)</f>
        <v>70.1493024197706</v>
      </c>
      <c r="O86" s="67" t="n">
        <f aca="false">(O69-O72)*1000000000/(O34*O45)</f>
        <v>37559.6634227452</v>
      </c>
      <c r="P86" s="67" t="n">
        <f aca="false">(P69-P72)*1000000000/(P34*P45)</f>
        <v>12857.1859364347</v>
      </c>
      <c r="Q86" s="67" t="n">
        <f aca="false">(Q69-Q72)*1000000000/(Q34*Q45)</f>
        <v>417.772914578888</v>
      </c>
    </row>
    <row r="87" customFormat="false" ht="15" hidden="false" customHeight="false" outlineLevel="0" collapsed="false">
      <c r="A87" s="60" t="s">
        <v>786</v>
      </c>
      <c r="B87" s="60" t="s">
        <v>508</v>
      </c>
      <c r="C87" s="112" t="n">
        <f aca="false">MAX(0,MIN(C85,C86))</f>
        <v>3.87611792257512</v>
      </c>
      <c r="D87" s="112" t="n">
        <f aca="false">MAX(0,MIN(D85,D86))</f>
        <v>2.08507597129004</v>
      </c>
      <c r="E87" s="112" t="n">
        <f aca="false">MAX(0,MIN(E85,E86))</f>
        <v>0.357429474994288</v>
      </c>
      <c r="F87" s="112" t="n">
        <f aca="false">MAX(0,MIN(F85,F86))</f>
        <v>28.6320755060154</v>
      </c>
      <c r="G87" s="112" t="n">
        <f aca="false">MAX(0,MIN(G85,G86))</f>
        <v>15.1781515239196</v>
      </c>
      <c r="H87" s="112" t="n">
        <f aca="false">MAX(0,MIN(H85,H86))</f>
        <v>3.0655172579234</v>
      </c>
      <c r="I87" s="112" t="n">
        <f aca="false">MAX(0,MIN(I85,I86))</f>
        <v>42.9481132590231</v>
      </c>
      <c r="J87" s="112" t="n">
        <f aca="false">MAX(0,MIN(J85,J86))</f>
        <v>22.7672272858794</v>
      </c>
      <c r="K87" s="112" t="n">
        <f aca="false">MAX(0,MIN(K85,K86))</f>
        <v>3.6950982485788</v>
      </c>
      <c r="L87" s="112" t="n">
        <f aca="false">MAX(0,MIN(L85,L86))</f>
        <v>106.836749836032</v>
      </c>
      <c r="M87" s="112" t="n">
        <f aca="false">MAX(0,MIN(M85,M86))</f>
        <v>62.0883339972837</v>
      </c>
      <c r="N87" s="112" t="n">
        <f aca="false">MAX(0,MIN(N85,N86))</f>
        <v>14.1753406636192</v>
      </c>
      <c r="O87" s="112" t="n">
        <f aca="false">MAX(0,MIN(O85,O86))</f>
        <v>217.275627746254</v>
      </c>
      <c r="P87" s="112" t="n">
        <f aca="false">MAX(0,MIN(P85,P86))</f>
        <v>129.413871231736</v>
      </c>
      <c r="Q87" s="112" t="n">
        <f aca="false">MAX(0,MIN(Q85,Q86))</f>
        <v>31.6124580709712</v>
      </c>
    </row>
    <row r="88" customFormat="false" ht="15" hidden="false" customHeight="false" outlineLevel="0" collapsed="false">
      <c r="A88" s="61" t="s">
        <v>787</v>
      </c>
      <c r="B88" s="61" t="s">
        <v>372</v>
      </c>
      <c r="C88" s="70" t="n">
        <f aca="false">IF(C87&gt;0,C87*C49/((C79+C87*C83)/1000),0)</f>
        <v>465.134150709014</v>
      </c>
      <c r="D88" s="70" t="n">
        <f aca="false">IF(D87&gt;0,D87*D49/((D79+D87*D83)/1000),0)</f>
        <v>135.529938133852</v>
      </c>
      <c r="E88" s="70" t="n">
        <f aca="false">IF(E87&gt;0,E87*E49/((E79+E87*E83)/1000),0)</f>
        <v>19.6586211246858</v>
      </c>
      <c r="F88" s="70" t="n">
        <f aca="false">IF(F87&gt;0,F87*F49/((F79+F87*F83)/1000),0)</f>
        <v>3435.84906072185</v>
      </c>
      <c r="G88" s="70" t="n">
        <f aca="false">IF(G87&gt;0,G87*G49/((G79+G87*G83)/1000),0)</f>
        <v>986.579849054775</v>
      </c>
      <c r="H88" s="70" t="n">
        <f aca="false">IF(H87&gt;0,H87*H49/((H79+H87*H83)/1000),0)</f>
        <v>168.603449185787</v>
      </c>
      <c r="I88" s="70" t="n">
        <f aca="false">IF(I87&gt;0,I87*I49/((I79+I87*I83)/1000),0)</f>
        <v>5153.77359108278</v>
      </c>
      <c r="J88" s="70" t="n">
        <f aca="false">IF(J87&gt;0,J87*J49/((J79+J87*J83)/1000),0)</f>
        <v>1479.86977358216</v>
      </c>
      <c r="K88" s="70" t="n">
        <f aca="false">IF(K87&gt;0,K87*K49/((K79+K87*K83)/1000),0)</f>
        <v>203.230403671834</v>
      </c>
      <c r="L88" s="70" t="n">
        <f aca="false">IF(L87&gt;0,L87*L49/((L79+L87*L83)/1000),0)</f>
        <v>12820.4099803238</v>
      </c>
      <c r="M88" s="70" t="n">
        <f aca="false">IF(M87&gt;0,M87*M49/((M79+M87*M83)/1000),0)</f>
        <v>4035.74170982344</v>
      </c>
      <c r="N88" s="70" t="n">
        <f aca="false">IF(N87&gt;0,N87*N49/((N79+N87*N83)/1000),0)</f>
        <v>779.643736499055</v>
      </c>
      <c r="O88" s="70" t="n">
        <f aca="false">IF(O87&gt;0,O87*O49/((O79+O87*O83)/1000),0)</f>
        <v>26073.0753295504</v>
      </c>
      <c r="P88" s="70" t="n">
        <f aca="false">IF(P87&gt;0,P87*P49/((P79+P87*P83)/1000),0)</f>
        <v>8411.90163006283</v>
      </c>
      <c r="Q88" s="70" t="n">
        <f aca="false">IF(Q87&gt;0,Q87*Q49/((Q79+Q87*Q83)/1000),0)</f>
        <v>1738.68519390341</v>
      </c>
    </row>
    <row r="89" customFormat="false" ht="15" hidden="false" customHeight="false" outlineLevel="0" collapsed="false">
      <c r="A89" s="60" t="s">
        <v>788</v>
      </c>
      <c r="B89" s="61" t="s">
        <v>372</v>
      </c>
      <c r="C89" s="67" t="n">
        <f aca="false">IF(C87&gt;0,C49/((C79+C87*C83)/1000),0)</f>
        <v>120</v>
      </c>
      <c r="D89" s="67" t="n">
        <f aca="false">IF(D87&gt;0,D49/((D79+D87*D83)/1000),0)</f>
        <v>65</v>
      </c>
      <c r="E89" s="67" t="n">
        <f aca="false">IF(E87&gt;0,E49/((E79+E87*E83)/1000),0)</f>
        <v>55</v>
      </c>
      <c r="F89" s="67" t="n">
        <f aca="false">IF(F87&gt;0,F49/((F79+F87*F83)/1000),0)</f>
        <v>120</v>
      </c>
      <c r="G89" s="67" t="n">
        <f aca="false">IF(G87&gt;0,G49/((G79+G87*G83)/1000),0)</f>
        <v>65</v>
      </c>
      <c r="H89" s="67" t="n">
        <f aca="false">IF(H87&gt;0,H49/((H79+H87*H83)/1000),0)</f>
        <v>55</v>
      </c>
      <c r="I89" s="67" t="n">
        <f aca="false">IF(I87&gt;0,I49/((I79+I87*I83)/1000),0)</f>
        <v>120</v>
      </c>
      <c r="J89" s="67" t="n">
        <f aca="false">IF(J87&gt;0,J49/((J79+J87*J83)/1000),0)</f>
        <v>65</v>
      </c>
      <c r="K89" s="67" t="n">
        <f aca="false">IF(K87&gt;0,K49/((K79+K87*K83)/1000),0)</f>
        <v>55</v>
      </c>
      <c r="L89" s="67" t="n">
        <f aca="false">IF(L87&gt;0,L49/((L79+L87*L83)/1000),0)</f>
        <v>120</v>
      </c>
      <c r="M89" s="67" t="n">
        <f aca="false">IF(M87&gt;0,M49/((M79+M87*M83)/1000),0)</f>
        <v>65</v>
      </c>
      <c r="N89" s="67" t="n">
        <f aca="false">IF(N87&gt;0,N49/((N79+N87*N83)/1000),0)</f>
        <v>55</v>
      </c>
      <c r="O89" s="67" t="n">
        <f aca="false">IF(O87&gt;0,O49/((O79+O87*O83)/1000),0)</f>
        <v>120</v>
      </c>
      <c r="P89" s="67" t="n">
        <f aca="false">IF(P87&gt;0,P49/((P79+P87*P83)/1000),0)</f>
        <v>65</v>
      </c>
      <c r="Q89" s="67" t="n">
        <f aca="false">IF(Q87&gt;0,Q49/((Q79+Q87*Q83)/1000),0)</f>
        <v>55</v>
      </c>
    </row>
    <row r="90" customFormat="false" ht="15" hidden="false" customHeight="false" outlineLevel="0" collapsed="false">
      <c r="A90" s="60" t="s">
        <v>789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TTFT 不可達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1" t="s">
        <v>790</v>
      </c>
      <c r="B91" s="61" t="s">
        <v>99</v>
      </c>
      <c r="C91" s="85" t="n">
        <f aca="false">C87*C34*C45/1000000000/C69</f>
        <v>0.00130967995087045</v>
      </c>
      <c r="D91" s="85" t="n">
        <f aca="false">D87*D34*D45/1000000000/D69</f>
        <v>0.00199885576312611</v>
      </c>
      <c r="E91" s="85" t="n">
        <f aca="false">E87*E34*E45/1000000000/E69</f>
        <v>0.0099554116811209</v>
      </c>
      <c r="F91" s="85" t="n">
        <f aca="false">F87*F34*F45/1000000000/F69</f>
        <v>0.00416100340887802</v>
      </c>
      <c r="G91" s="85" t="n">
        <f aca="false">G87*G34*G45/1000000000/G69</f>
        <v>0.00625828735216892</v>
      </c>
      <c r="H91" s="85" t="n">
        <f aca="false">H87*H34*H45/1000000000/H69</f>
        <v>0.0367239737984898</v>
      </c>
      <c r="I91" s="85" t="n">
        <f aca="false">I87*I34*I45/1000000000/I69</f>
        <v>0.00403097205235059</v>
      </c>
      <c r="J91" s="85" t="n">
        <f aca="false">J87*J34*J45/1000000000/J69</f>
        <v>0.00606271587241364</v>
      </c>
      <c r="K91" s="85" t="n">
        <f aca="false">K87*K34*K45/1000000000/K69</f>
        <v>0.0285885645827821</v>
      </c>
      <c r="L91" s="85" t="n">
        <f aca="false">L87*L34*L45/1000000000/L69</f>
        <v>0.0100273544068327</v>
      </c>
      <c r="M91" s="85" t="n">
        <f aca="false">M87*M34*M45/1000000000/M69</f>
        <v>0.0165335867776273</v>
      </c>
      <c r="N91" s="85" t="n">
        <f aca="false">N87*N34*N45/1000000000/N69</f>
        <v>0.10967303567657</v>
      </c>
      <c r="O91" s="85" t="n">
        <f aca="false">O87*O34*O45/1000000000/O69</f>
        <v>0.00573547302909069</v>
      </c>
      <c r="P91" s="85" t="n">
        <f aca="false">P87*P34*P45/1000000000/P69</f>
        <v>0.00969237998930573</v>
      </c>
      <c r="Q91" s="85" t="n">
        <f aca="false">Q87*Q34*Q45/1000000000/Q69</f>
        <v>0.0687887087624332</v>
      </c>
    </row>
    <row r="92" customFormat="false" ht="15" hidden="false" customHeight="false" outlineLevel="0" collapsed="false">
      <c r="A92" s="75" t="s">
        <v>791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792</v>
      </c>
      <c r="B93" s="61" t="s">
        <v>793</v>
      </c>
      <c r="C93" s="114" t="n">
        <f aca="false">IF(ISNUMBER(C88),IF(C88&gt;0,IF(C77="是",C43/C75+C44/C88,"TTFT 不可達"),"SLO 不可達"),"SLO 不可達")</f>
        <v>3.25788351049573</v>
      </c>
      <c r="D93" s="114" t="n">
        <f aca="false">IF(ISNUMBER(D88),IF(D88&gt;0,IF(D77="是",D43/D75+D44/D88,"TTFT 不可達"),"SLO 不可達"),"SLO 不可達")</f>
        <v>22.4439196583703</v>
      </c>
      <c r="E93" s="114" t="str">
        <f aca="false">IF(ISNUMBER(E88),IF(E88&gt;0,IF(E77="是",E43/E75+E44/E88,"TTFT 不可達"),"SLO 不可達"),"SLO 不可達")</f>
        <v>TTFT 不可達</v>
      </c>
      <c r="F93" s="114" t="n">
        <f aca="false">IF(ISNUMBER(F88),IF(F88&gt;0,IF(F77="是",F43/F75+F44/F88,"TTFT 不可達"),"SLO 不可達"),"SLO 不可達")</f>
        <v>0.402508852115598</v>
      </c>
      <c r="G93" s="114" t="n">
        <f aca="false">IF(ISNUMBER(G88),IF(G88&gt;0,IF(G77="是",G43/G75+G44/G88,"TTFT 不可達"),"SLO 不可達"),"SLO 不可達")</f>
        <v>2.80107890175599</v>
      </c>
      <c r="H93" s="114" t="n">
        <f aca="false">IF(ISNUMBER(H88),IF(H88&gt;0,IF(H77="是",H43/H75+H44/H88,"TTFT 不可達"),"SLO 不可達"),"SLO 不可達")</f>
        <v>29.1054597325189</v>
      </c>
      <c r="I93" s="114" t="n">
        <f aca="false">IF(ISNUMBER(I88),IF(I88&gt;0,IF(I77="是",I43/I75+I44/I88,"TTFT 不可達"),"SLO 不可達"),"SLO 不可達")</f>
        <v>0.268339234743732</v>
      </c>
      <c r="J93" s="114" t="n">
        <f aca="false">IF(ISNUMBER(J88),IF(J88&gt;0,IF(J77="是",J43/J75+J44/J88,"TTFT 不可達"),"SLO 不可達"),"SLO 不可達")</f>
        <v>1.86738593450399</v>
      </c>
      <c r="K93" s="114" t="n">
        <f aca="false">IF(ISNUMBER(K88),IF(K88&gt;0,IF(K77="是",K43/K75+K44/K88,"TTFT 不可達"),"SLO 不可達"),"SLO 不可達")</f>
        <v>23.3623109173702</v>
      </c>
      <c r="L93" s="114" t="n">
        <f aca="false">IF(ISNUMBER(L88),IF(L88&gt;0,IF(L77="是",L43/L75+L44/L88,"TTFT 不可達"),"SLO 不可達"),"SLO 不可達")</f>
        <v>0.109722585057166</v>
      </c>
      <c r="M93" s="114" t="n">
        <f aca="false">IF(ISNUMBER(M88),IF(M88&gt;0,IF(M77="是",M43/M75+M44/M88,"TTFT 不可達"),"SLO 不可達"),"SLO 不可達")</f>
        <v>0.714671455168045</v>
      </c>
      <c r="N93" s="114" t="n">
        <f aca="false">IF(ISNUMBER(N88),IF(N88&gt;0,IF(N77="是",N43/N75+N44/N88,"TTFT 不可達"),"SLO 不可達"),"SLO 不可達")</f>
        <v>6.62847288948946</v>
      </c>
      <c r="O93" s="114" t="n">
        <f aca="false">IF(ISNUMBER(O88),IF(O88&gt;0,IF(O77="是",O43/O75+O44/O88,"TTFT 不可達"),"SLO 不可達"),"SLO 不可達")</f>
        <v>0.0541992038157031</v>
      </c>
      <c r="P93" s="114" t="n">
        <f aca="false">IF(ISNUMBER(P88),IF(P88&gt;0,IF(P77="是",P43/P75+P44/P88,"TTFT 不可達"),"SLO 不可達"),"SLO 不可達")</f>
        <v>0.347067506939312</v>
      </c>
      <c r="Q93" s="114" t="n">
        <f aca="false">IF(ISNUMBER(Q88),IF(Q88&gt;0,IF(Q77="是",Q43/Q75+Q44/Q88,"TTFT 不可達"),"SLO 不可達"),"SLO 不可達")</f>
        <v>3.04319873201742</v>
      </c>
    </row>
    <row r="94" customFormat="false" ht="15" hidden="false" customHeight="false" outlineLevel="0" collapsed="false">
      <c r="A94" s="61" t="s">
        <v>794</v>
      </c>
      <c r="B94" s="61" t="s">
        <v>99</v>
      </c>
      <c r="C94" s="85" t="n">
        <f aca="false">IF(ISNUMBER(C93),IF(C93&gt;0,(C43/C75)/C93,0),C93)</f>
        <v>0.324249807635612</v>
      </c>
      <c r="D94" s="85" t="n">
        <f aca="false">IF(ISNUMBER(D93),IF(D93&gt;0,(D43/D75)/D93,0),D93)</f>
        <v>0.326719545747069</v>
      </c>
      <c r="E94" s="85" t="str">
        <f aca="false">IF(ISNUMBER(E93),IF(E93&gt;0,(E43/E75)/E93,0),E93)</f>
        <v>TTFT 不可達</v>
      </c>
      <c r="F94" s="85" t="n">
        <f aca="false">IF(ISNUMBER(F93),IF(F93&gt;0,(F43/F75)/F93,0),F93)</f>
        <v>0.259559025091969</v>
      </c>
      <c r="G94" s="85" t="n">
        <f aca="false">IF(ISNUMBER(G93),IF(G93&gt;0,(G43/G75)/G93,0),G93)</f>
        <v>0.258907583482522</v>
      </c>
      <c r="H94" s="85" t="n">
        <f aca="false">IF(ISNUMBER(H93),IF(H93&gt;0,(H43/H75)/H93,0),H93)</f>
        <v>0.165321879346394</v>
      </c>
      <c r="I94" s="85" t="n">
        <f aca="false">IF(ISNUMBER(I93),IF(I93&gt;0,(I43/I75)/I93,0),I93)</f>
        <v>0.259559025091969</v>
      </c>
      <c r="J94" s="85" t="n">
        <f aca="false">IF(ISNUMBER(J93),IF(J93&gt;0,(J43/J75)/J93,0),J93)</f>
        <v>0.258907583482522</v>
      </c>
      <c r="K94" s="85" t="n">
        <f aca="false">IF(ISNUMBER(K93),IF(K93&gt;0,(K43/K75)/K93,0),K93)</f>
        <v>0.13730859985668</v>
      </c>
      <c r="L94" s="85" t="n">
        <f aca="false">IF(ISNUMBER(L93),IF(L93&gt;0,(L43/L75)/L93,0),L93)</f>
        <v>0.272049226150218</v>
      </c>
      <c r="M94" s="85" t="n">
        <f aca="false">IF(ISNUMBER(M93),IF(M93&gt;0,(M43/M75)/M93,0),M93)</f>
        <v>0.289931653950194</v>
      </c>
      <c r="N94" s="85" t="n">
        <f aca="false">IF(ISNUMBER(N93),IF(N93&gt;0,(N43/N75)/N93,0),N93)</f>
        <v>0.207406932505661</v>
      </c>
      <c r="O94" s="85" t="n">
        <f aca="false">IF(ISNUMBER(O93),IF(O93&gt;0,(O43/O75)/O93,0),O93)</f>
        <v>0.275372535521962</v>
      </c>
      <c r="P94" s="85" t="n">
        <f aca="false">IF(ISNUMBER(P93),IF(P93&gt;0,(P43/P75)/P93,0),P93)</f>
        <v>0.298509472775415</v>
      </c>
      <c r="Q94" s="85" t="n">
        <f aca="false">IF(ISNUMBER(Q93),IF(Q93&gt;0,(Q43/Q75)/Q93,0),Q93)</f>
        <v>0.225879305012486</v>
      </c>
    </row>
    <row r="95" customFormat="false" ht="15" hidden="false" customHeight="false" outlineLevel="0" collapsed="false">
      <c r="A95" s="60" t="s">
        <v>795</v>
      </c>
      <c r="B95" s="61" t="s">
        <v>372</v>
      </c>
      <c r="C95" s="70" t="n">
        <f aca="false">IF(ISNUMBER(C93),IF(C93&gt;0,C22*(C43+C44)/C93,0),C93)</f>
        <v>90522.5736432564</v>
      </c>
      <c r="D95" s="70" t="n">
        <f aca="false">IF(ISNUMBER(D93),IF(D93&gt;0,D22*(D43+D44)/D93,0),D93)</f>
        <v>26279.9015937499</v>
      </c>
      <c r="E95" s="70" t="str">
        <f aca="false">IF(ISNUMBER(E93),IF(E93&gt;0,E22*(E43+E44)/E93,0),E93)</f>
        <v>TTFT 不可達</v>
      </c>
      <c r="F95" s="70" t="n">
        <f aca="false">IF(ISNUMBER(F93),IF(F93&gt;0,F22*(F43+F44)/F93,0),F93)</f>
        <v>1648540.14144621</v>
      </c>
      <c r="G95" s="70" t="n">
        <f aca="false">IF(ISNUMBER(G93),IF(G93&gt;0,G22*(G43+G44)/G93,0),G93)</f>
        <v>473783.155186397</v>
      </c>
      <c r="H95" s="70" t="n">
        <f aca="false">IF(ISNUMBER(H93),IF(H93&gt;0,H22*(H43+H44)/H93,0),H93)</f>
        <v>91192.7873461663</v>
      </c>
      <c r="I95" s="70" t="n">
        <f aca="false">IF(ISNUMBER(I93),IF(I93&gt;0,I22*(I43+I44)/I93,0),I93)</f>
        <v>2472810.21216931</v>
      </c>
      <c r="J95" s="70" t="n">
        <f aca="false">IF(ISNUMBER(J93),IF(J93&gt;0,J22*(J43+J44)/J93,0),J93)</f>
        <v>710674.732779595</v>
      </c>
      <c r="K95" s="70" t="n">
        <f aca="false">IF(ISNUMBER(K93),IF(K93&gt;0,K22*(K43+K44)/K93,0),K93)</f>
        <v>113610.678728985</v>
      </c>
      <c r="L95" s="70" t="n">
        <f aca="false">IF(ISNUMBER(L93),IF(L93&gt;0,L22*(L43+L44)/L93,0),L93)</f>
        <v>6047542.53332882</v>
      </c>
      <c r="M95" s="70" t="n">
        <f aca="false">IF(ISNUMBER(M93),IF(M93&gt;0,M22*(M43+M44)/M93,0),M93)</f>
        <v>1856942.7817541</v>
      </c>
      <c r="N95" s="70" t="n">
        <f aca="false">IF(ISNUMBER(N93),IF(N93&gt;0,N22*(N43+N44)/N93,0),N93)</f>
        <v>400425.262990618</v>
      </c>
      <c r="O95" s="70" t="n">
        <f aca="false">IF(ISNUMBER(O93),IF(O93&gt;0,O22*(O43+O44)/O93,0),O93)</f>
        <v>12242836.6707437</v>
      </c>
      <c r="P95" s="70" t="n">
        <f aca="false">IF(ISNUMBER(P93),IF(P93&gt;0,P22*(P43+P44)/P93,0),P93)</f>
        <v>3823763.31251331</v>
      </c>
      <c r="Q95" s="70" t="n">
        <f aca="false">IF(ISNUMBER(Q93),IF(Q93&gt;0,Q22*(Q43+Q44)/Q93,0),Q93)</f>
        <v>872177.01955352</v>
      </c>
    </row>
    <row r="96" customFormat="false" ht="15" hidden="false" customHeight="false" outlineLevel="0" collapsed="false">
      <c r="A96" s="60" t="s">
        <v>796</v>
      </c>
      <c r="B96" s="61" t="s">
        <v>372</v>
      </c>
      <c r="C96" s="67" t="n">
        <f aca="false">IF(ISNUMBER(C95),C95*C44/(C43+C44),C95)</f>
        <v>10058.0637381396</v>
      </c>
      <c r="D96" s="67" t="n">
        <f aca="false">IF(ISNUMBER(D95),D95*D44/(D43+D44),D95)</f>
        <v>2919.98906597222</v>
      </c>
      <c r="E96" s="67" t="str">
        <f aca="false">IF(ISNUMBER(E95),E95*E44/(E43+E44),E95)</f>
        <v>TTFT 不可達</v>
      </c>
      <c r="F96" s="67" t="n">
        <f aca="false">IF(ISNUMBER(F95),F95*F44/(F43+F44),F95)</f>
        <v>183171.126827357</v>
      </c>
      <c r="G96" s="67" t="n">
        <f aca="false">IF(ISNUMBER(G95),G95*G44/(G43+G44),G95)</f>
        <v>52642.5727984885</v>
      </c>
      <c r="H96" s="67" t="n">
        <f aca="false">IF(ISNUMBER(H95),H95*H44/(H43+H44),H95)</f>
        <v>10132.5319273518</v>
      </c>
      <c r="I96" s="67" t="n">
        <f aca="false">IF(ISNUMBER(I95),I95*I44/(I43+I44),I95)</f>
        <v>274756.690241035</v>
      </c>
      <c r="J96" s="67" t="n">
        <f aca="false">IF(ISNUMBER(J95),J95*J44/(J43+J44),J95)</f>
        <v>78963.8591977328</v>
      </c>
      <c r="K96" s="67" t="n">
        <f aca="false">IF(ISNUMBER(K95),K95*K44/(K43+K44),K95)</f>
        <v>12623.408747665</v>
      </c>
      <c r="L96" s="67" t="n">
        <f aca="false">IF(ISNUMBER(L95),L95*L44/(L43+L44),L95)</f>
        <v>671949.170369869</v>
      </c>
      <c r="M96" s="67" t="n">
        <f aca="false">IF(ISNUMBER(M95),M95*M44/(M43+M44),M95)</f>
        <v>206326.975750455</v>
      </c>
      <c r="N96" s="67" t="n">
        <f aca="false">IF(ISNUMBER(N95),N95*N44/(N43+N44),N95)</f>
        <v>44491.6958878465</v>
      </c>
      <c r="O96" s="67" t="n">
        <f aca="false">IF(ISNUMBER(O95),O95*O44/(O43+O44),O95)</f>
        <v>1360315.18563819</v>
      </c>
      <c r="P96" s="67" t="n">
        <f aca="false">IF(ISNUMBER(P95),P95*P44/(P43+P44),P95)</f>
        <v>424862.590279257</v>
      </c>
      <c r="Q96" s="67" t="n">
        <f aca="false">IF(ISNUMBER(Q95),Q95*Q44/(Q43+Q44),Q95)</f>
        <v>96908.5577281689</v>
      </c>
    </row>
    <row r="97" customFormat="false" ht="15" hidden="false" customHeight="false" outlineLevel="0" collapsed="false">
      <c r="A97" s="60" t="s">
        <v>797</v>
      </c>
      <c r="B97" s="61" t="s">
        <v>372</v>
      </c>
      <c r="C97" s="67" t="n">
        <f aca="false">IF(ISNUMBER(C95),C95-C96,C95)</f>
        <v>80464.5099051168</v>
      </c>
      <c r="D97" s="67" t="n">
        <f aca="false">IF(ISNUMBER(D95),D95-D96,D95)</f>
        <v>23359.9125277777</v>
      </c>
      <c r="E97" s="67" t="str">
        <f aca="false">IF(ISNUMBER(E95),E95-E96,E95)</f>
        <v>TTFT 不可達</v>
      </c>
      <c r="F97" s="67" t="n">
        <f aca="false">IF(ISNUMBER(F95),F95-F96,F95)</f>
        <v>1465369.01461885</v>
      </c>
      <c r="G97" s="67" t="n">
        <f aca="false">IF(ISNUMBER(G95),G95-G96,G95)</f>
        <v>421140.582387908</v>
      </c>
      <c r="H97" s="67" t="n">
        <f aca="false">IF(ISNUMBER(H95),H95-H96,H95)</f>
        <v>81060.2554188145</v>
      </c>
      <c r="I97" s="67" t="n">
        <f aca="false">IF(ISNUMBER(I95),I95-I96,I95)</f>
        <v>2198053.52192828</v>
      </c>
      <c r="J97" s="67" t="n">
        <f aca="false">IF(ISNUMBER(J95),J95-J96,J95)</f>
        <v>631710.873581863</v>
      </c>
      <c r="K97" s="67" t="n">
        <f aca="false">IF(ISNUMBER(K95),K95-K96,K95)</f>
        <v>100987.26998132</v>
      </c>
      <c r="L97" s="67" t="n">
        <f aca="false">IF(ISNUMBER(L95),L95-L96,L95)</f>
        <v>5375593.36295895</v>
      </c>
      <c r="M97" s="67" t="n">
        <f aca="false">IF(ISNUMBER(M95),M95-M96,M95)</f>
        <v>1650615.80600364</v>
      </c>
      <c r="N97" s="67" t="n">
        <f aca="false">IF(ISNUMBER(N95),N95-N96,N95)</f>
        <v>355933.567102772</v>
      </c>
      <c r="O97" s="67" t="n">
        <f aca="false">IF(ISNUMBER(O95),O95-O96,O95)</f>
        <v>10882521.4851055</v>
      </c>
      <c r="P97" s="67" t="n">
        <f aca="false">IF(ISNUMBER(P95),P95-P96,P95)</f>
        <v>3398900.72223406</v>
      </c>
      <c r="Q97" s="67" t="n">
        <f aca="false">IF(ISNUMBER(Q95),Q95-Q96,Q95)</f>
        <v>775268.461825351</v>
      </c>
    </row>
    <row r="98" customFormat="false" ht="15" hidden="false" customHeight="false" outlineLevel="0" collapsed="false">
      <c r="A98" s="60" t="s">
        <v>798</v>
      </c>
      <c r="B98" s="61" t="s">
        <v>799</v>
      </c>
      <c r="C98" s="70" t="n">
        <f aca="false">IF(ISNUMBER(C95),C95*C25*8760*3600/1000000,C95)</f>
        <v>64057059441.4818</v>
      </c>
      <c r="D98" s="70" t="n">
        <f aca="false">IF(ISNUMBER(D95),D95*D25*8760*3600/1000000,D95)</f>
        <v>18596612433.2849</v>
      </c>
      <c r="E98" s="70" t="str">
        <f aca="false">IF(ISNUMBER(E95),E95*E25*8760*3600/1000000,E95)</f>
        <v>TTFT 不可達</v>
      </c>
      <c r="F98" s="70" t="n">
        <f aca="false">IF(ISNUMBER(F95),F95*F25*8760*3600/1000000,F95)</f>
        <v>362306894085.614</v>
      </c>
      <c r="G98" s="70" t="n">
        <f aca="false">IF(ISNUMBER(G95),G95*G25*8760*3600/1000000,G95)</f>
        <v>104125401080.667</v>
      </c>
      <c r="H98" s="70" t="n">
        <f aca="false">IF(ISNUMBER(H95),H95*H25*8760*3600/1000000,H95)</f>
        <v>20041838664.2467</v>
      </c>
      <c r="I98" s="70" t="n">
        <f aca="false">IF(ISNUMBER(I95),I95*I25*8760*3600/1000000,I95)</f>
        <v>527473919843.971</v>
      </c>
      <c r="J98" s="70" t="n">
        <f aca="false">IF(ISNUMBER(J95),J95*J25*8760*3600/1000000,J95)</f>
        <v>151593674754.548</v>
      </c>
      <c r="K98" s="70" t="n">
        <f aca="false">IF(ISNUMBER(K95),K95*K25*8760*3600/1000000,K95)</f>
        <v>24234237528.7831</v>
      </c>
      <c r="L98" s="70" t="n">
        <f aca="false">IF(ISNUMBER(L95),L95*L25*8760*3600/1000000,L95)</f>
        <v>772778400993.445</v>
      </c>
      <c r="M98" s="70" t="n">
        <f aca="false">IF(ISNUMBER(M95),M95*M25*8760*3600/1000000,M95)</f>
        <v>237287338734.99</v>
      </c>
      <c r="N98" s="70" t="n">
        <f aca="false">IF(ISNUMBER(N95),N95*N25*8760*3600/1000000,N95)</f>
        <v>51167890551.5595</v>
      </c>
      <c r="O98" s="70" t="n">
        <f aca="false">IF(ISNUMBER(O95),O95*O25*8760*3600/1000000,O95)</f>
        <v>1044373713057.39</v>
      </c>
      <c r="P98" s="70" t="n">
        <f aca="false">IF(ISNUMBER(P95),P95*P25*8760*3600/1000000,P95)</f>
        <v>326185670522.351</v>
      </c>
      <c r="Q98" s="70" t="n">
        <f aca="false">IF(ISNUMBER(Q95),Q95*Q25*8760*3600/1000000,Q95)</f>
        <v>74400955991.7707</v>
      </c>
    </row>
    <row r="99" customFormat="false" ht="15" hidden="false" customHeight="false" outlineLevel="0" collapsed="false">
      <c r="A99" s="60" t="s">
        <v>800</v>
      </c>
      <c r="B99" s="61" t="s">
        <v>799</v>
      </c>
      <c r="C99" s="67" t="n">
        <f aca="false">IF(ISNUMBER(C96),C96*C25*8760*3600/1000000,C96)</f>
        <v>7117451049.05353</v>
      </c>
      <c r="D99" s="67" t="n">
        <f aca="false">IF(ISNUMBER(D96),D96*D25*8760*3600/1000000,D96)</f>
        <v>2066290270.36499</v>
      </c>
      <c r="E99" s="67" t="str">
        <f aca="false">IF(ISNUMBER(E96),E96*E25*8760*3600/1000000,E96)</f>
        <v>TTFT 不可達</v>
      </c>
      <c r="F99" s="67" t="n">
        <f aca="false">IF(ISNUMBER(F96),F96*F25*8760*3600/1000000,F96)</f>
        <v>40256321565.0682</v>
      </c>
      <c r="G99" s="67" t="n">
        <f aca="false">IF(ISNUMBER(G96),G96*G25*8760*3600/1000000,G96)</f>
        <v>11569489008.963</v>
      </c>
      <c r="H99" s="67" t="n">
        <f aca="false">IF(ISNUMBER(H96),H96*H25*8760*3600/1000000,H96)</f>
        <v>2226870962.69408</v>
      </c>
      <c r="I99" s="67" t="n">
        <f aca="false">IF(ISNUMBER(I96),I96*I25*8760*3600/1000000,I96)</f>
        <v>58608213315.9968</v>
      </c>
      <c r="J99" s="67" t="n">
        <f aca="false">IF(ISNUMBER(J96),J96*J25*8760*3600/1000000,J96)</f>
        <v>16843741639.3942</v>
      </c>
      <c r="K99" s="67" t="n">
        <f aca="false">IF(ISNUMBER(K96),K96*K25*8760*3600/1000000,K96)</f>
        <v>2692693058.75367</v>
      </c>
      <c r="L99" s="67" t="n">
        <f aca="false">IF(ISNUMBER(L96),L96*L25*8760*3600/1000000,L96)</f>
        <v>85864266777.0495</v>
      </c>
      <c r="M99" s="67" t="n">
        <f aca="false">IF(ISNUMBER(M96),M96*M25*8760*3600/1000000,M96)</f>
        <v>26365259859.4433</v>
      </c>
      <c r="N99" s="67" t="n">
        <f aca="false">IF(ISNUMBER(N96),N96*N25*8760*3600/1000000,N96)</f>
        <v>5685321172.3955</v>
      </c>
      <c r="O99" s="67" t="n">
        <f aca="false">IF(ISNUMBER(O96),O96*O25*8760*3600/1000000,O96)</f>
        <v>116041523673.043</v>
      </c>
      <c r="P99" s="67" t="n">
        <f aca="false">IF(ISNUMBER(P96),P96*P25*8760*3600/1000000,P96)</f>
        <v>36242852280.2612</v>
      </c>
      <c r="Q99" s="67" t="n">
        <f aca="false">IF(ISNUMBER(Q96),Q96*Q25*8760*3600/1000000,Q96)</f>
        <v>8266772887.97452</v>
      </c>
    </row>
    <row r="100" customFormat="false" ht="15" hidden="false" customHeight="false" outlineLevel="0" collapsed="false">
      <c r="A100" s="75" t="s">
        <v>801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</row>
    <row r="101" customFormat="false" ht="15" hidden="false" customHeight="false" outlineLevel="0" collapsed="false">
      <c r="A101" s="60" t="s">
        <v>802</v>
      </c>
      <c r="B101" s="61" t="s">
        <v>803</v>
      </c>
      <c r="C101" s="74" t="n">
        <f aca="false">1000000/C75</f>
        <v>128.951184274594</v>
      </c>
      <c r="D101" s="74" t="n">
        <f aca="false">1000000/D75</f>
        <v>447.562697483303</v>
      </c>
      <c r="E101" s="74" t="n">
        <f aca="false">1000000/E75</f>
        <v>1484.76790293225</v>
      </c>
      <c r="F101" s="74" t="n">
        <f aca="false">1000000/F75</f>
        <v>12.7532721247573</v>
      </c>
      <c r="G101" s="74" t="n">
        <f aca="false">1000000/G75</f>
        <v>44.2639507810987</v>
      </c>
      <c r="H101" s="74" t="n">
        <f aca="false">1000000/H75</f>
        <v>146.8435456</v>
      </c>
      <c r="I101" s="74" t="n">
        <f aca="false">1000000/I75</f>
        <v>8.50218141650489</v>
      </c>
      <c r="J101" s="74" t="n">
        <f aca="false">1000000/J75</f>
        <v>29.5093005207324</v>
      </c>
      <c r="K101" s="74" t="n">
        <f aca="false">1000000/K75</f>
        <v>97.8956970666667</v>
      </c>
      <c r="L101" s="74" t="n">
        <f aca="false">1000000/L75</f>
        <v>3.64379203564495</v>
      </c>
      <c r="M101" s="74" t="n">
        <f aca="false">1000000/M75</f>
        <v>12.6468430803139</v>
      </c>
      <c r="N101" s="74" t="n">
        <f aca="false">1000000/N75</f>
        <v>41.9552987428571</v>
      </c>
      <c r="O101" s="74" t="n">
        <f aca="false">1000000/O75</f>
        <v>1.82189601782248</v>
      </c>
      <c r="P101" s="74" t="n">
        <f aca="false">1000000/P75</f>
        <v>6.32342154015695</v>
      </c>
      <c r="Q101" s="74" t="n">
        <f aca="false">1000000/Q75</f>
        <v>20.9776493714286</v>
      </c>
    </row>
    <row r="102" customFormat="false" ht="15" hidden="false" customHeight="false" outlineLevel="0" collapsed="false">
      <c r="A102" s="60" t="s">
        <v>804</v>
      </c>
      <c r="B102" s="61" t="s">
        <v>803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</row>
    <row r="103" customFormat="false" ht="15" hidden="false" customHeight="false" outlineLevel="0" collapsed="false">
      <c r="A103" s="61" t="s">
        <v>805</v>
      </c>
      <c r="B103" s="61" t="s">
        <v>803</v>
      </c>
      <c r="C103" s="74" t="n">
        <f aca="false">IF(ISNUMBER(C88),IF(C88&gt;0,IF(C77="是",1000000/C88,"TTFT 不可達"),"SLO 不可達"),"SLO 不可達")</f>
        <v>2149.91739152173</v>
      </c>
      <c r="D103" s="74" t="n">
        <f aca="false">IF(ISNUMBER(D88),IF(D88&gt;0,IF(D77="是",1000000/D88,"TTFT 不可達"),"SLO 不可達"),"SLO 不可達")</f>
        <v>7378.44356582218</v>
      </c>
      <c r="E103" s="74" t="str">
        <f aca="false">IF(ISNUMBER(E88),IF(E88&gt;0,IF(E77="是",1000000/E88,"TTFT 不可達"),"SLO 不可達"),"SLO 不可達")</f>
        <v>TTFT 不可達</v>
      </c>
      <c r="F103" s="74" t="n">
        <f aca="false">IF(ISNUMBER(F88),IF(F88&gt;0,IF(F77="是",1000000/F88,"TTFT 不可達"),"SLO 不可達"),"SLO 不可達")</f>
        <v>291.04887389608</v>
      </c>
      <c r="G103" s="74" t="n">
        <f aca="false">IF(ISNUMBER(G88),IF(G88&gt;0,IF(G77="是",1000000/G88,"TTFT 不可達"),"SLO 不可達"),"SLO 不可達")</f>
        <v>1013.60270124925</v>
      </c>
      <c r="H103" s="74" t="n">
        <f aca="false">IF(ISNUMBER(H88),IF(H88&gt;0,IF(H77="是",1000000/H88,"TTFT 不可達"),"SLO 不可達"),"SLO 不可達")</f>
        <v>5931.07676520949</v>
      </c>
      <c r="I103" s="74" t="n">
        <f aca="false">IF(ISNUMBER(I88),IF(I88&gt;0,IF(I77="是",1000000/I88,"TTFT 不可達"),"SLO 不可達"),"SLO 不可達")</f>
        <v>194.032582597387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4920.52361227776</v>
      </c>
      <c r="L103" s="74" t="n">
        <f aca="false">IF(ISNUMBER(L88),IF(L88&gt;0,IF(L77="是",1000000/L88,"TTFT 不可達"),"SLO 不可達"),"SLO 不可達")</f>
        <v>78.000625684729</v>
      </c>
      <c r="M103" s="74" t="n">
        <f aca="false">IF(ISNUMBER(M88),IF(M88&gt;0,IF(M77="是",1000000/M88,"TTFT 不可達"),"SLO 不可達"),"SLO 不可達")</f>
        <v>247.785926826261</v>
      </c>
      <c r="N103" s="74" t="n">
        <f aca="false">IF(ISNUMBER(N88),IF(N88&gt;0,IF(N77="是",1000000/N88,"TTFT 不可達"),"SLO 不可達"),"SLO 不可達")</f>
        <v>1282.63712409266</v>
      </c>
      <c r="O103" s="74" t="n">
        <f aca="false">IF(ISNUMBER(O88),IF(O88&gt;0,IF(O77="是",1000000/O88,"TTFT 不可達"),"SLO 不可達"),"SLO 不可達")</f>
        <v>38.3537418336927</v>
      </c>
      <c r="P103" s="74" t="n">
        <f aca="false">IF(ISNUMBER(P88),IF(P88&gt;0,IF(P77="是",1000000/P88,"TTFT 不可達"),"SLO 不可達"),"SLO 不可達")</f>
        <v>118.879183801455</v>
      </c>
      <c r="Q103" s="74" t="n">
        <f aca="false">IF(ISNUMBER(Q88),IF(Q88&gt;0,IF(Q77="是",1000000/Q88,"TTFT 不可達"),"SLO 不可達"),"SLO 不可達")</f>
        <v>575.147245462511</v>
      </c>
    </row>
    <row r="104" customFormat="false" ht="15" hidden="false" customHeight="false" outlineLevel="0" collapsed="false">
      <c r="A104" s="60" t="s">
        <v>806</v>
      </c>
      <c r="B104" s="61" t="s">
        <v>807</v>
      </c>
      <c r="C104" s="116" t="n">
        <f aca="false">INDEX(DC_Cost!$C$58:$Q$58,3*(C$6-1)+2)/3600*C101</f>
        <v>0.0552554588066438</v>
      </c>
      <c r="D104" s="116" t="n">
        <f aca="false">INDEX(DC_Cost!$C$58:$Q$58,3*(D$6-1)+2)/3600*D101</f>
        <v>0.191780186690782</v>
      </c>
      <c r="E104" s="116" t="n">
        <f aca="false">INDEX(DC_Cost!$C$58:$Q$58,3*(E$6-1)+2)/3600*E101</f>
        <v>0.636221622619591</v>
      </c>
      <c r="F104" s="116" t="n">
        <f aca="false">INDEX(DC_Cost!$C$58:$Q$58,3*(F$6-1)+2)/3600*F101</f>
        <v>0.00711512490016412</v>
      </c>
      <c r="G104" s="116" t="n">
        <f aca="false">INDEX(DC_Cost!$C$58:$Q$58,3*(G$6-1)+2)/3600*G101</f>
        <v>0.0246951163043756</v>
      </c>
      <c r="H104" s="116" t="n">
        <f aca="false">INDEX(DC_Cost!$C$58:$Q$58,3*(H$6-1)+2)/3600*H101</f>
        <v>0.0819248705356724</v>
      </c>
      <c r="I104" s="116" t="n">
        <f aca="false">INDEX(DC_Cost!$C$58:$Q$58,3*(I$6-1)+2)/3600*I101</f>
        <v>0.00602660034017561</v>
      </c>
      <c r="J104" s="116" t="n">
        <f aca="false">INDEX(DC_Cost!$C$58:$Q$58,3*(J$6-1)+2)/3600*J101</f>
        <v>0.0209170743182869</v>
      </c>
      <c r="K104" s="116" t="n">
        <f aca="false">INDEX(DC_Cost!$C$58:$Q$58,3*(K$6-1)+2)/3600*K101</f>
        <v>0.0693913964360257</v>
      </c>
      <c r="L104" s="116" t="n">
        <f aca="false">INDEX(DC_Cost!$C$58:$Q$58,3*(L$6-1)+2)/3600*L101</f>
        <v>0.00484184232125769</v>
      </c>
      <c r="M104" s="116" t="n">
        <f aca="false">INDEX(DC_Cost!$C$58:$Q$58,3*(M$6-1)+2)/3600*M101</f>
        <v>0.0168050260436256</v>
      </c>
      <c r="N104" s="116" t="n">
        <f aca="false">INDEX(DC_Cost!$C$58:$Q$58,3*(N$6-1)+2)/3600*N101</f>
        <v>0.0557498724040708</v>
      </c>
      <c r="O104" s="116" t="n">
        <f aca="false">INDEX(DC_Cost!$C$58:$Q$58,3*(O$6-1)+2)/3600*O101</f>
        <v>0.0045546226683917</v>
      </c>
      <c r="P104" s="116" t="n">
        <f aca="false">INDEX(DC_Cost!$C$58:$Q$58,3*(P$6-1)+2)/3600*P101</f>
        <v>0.0158081464621773</v>
      </c>
      <c r="Q104" s="116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60" t="s">
        <v>808</v>
      </c>
      <c r="B105" s="61" t="s">
        <v>807</v>
      </c>
      <c r="C105" s="116" t="n">
        <f aca="false">IF(ISNUMBER(C103),INDEX(DC_Cost!$C$58:$Q$58,3*(C$6-1)+2)/3600*C103,C103)</f>
        <v>0.921237540649102</v>
      </c>
      <c r="D105" s="116" t="n">
        <f aca="false">IF(ISNUMBER(D103),INDEX(DC_Cost!$C$58:$Q$58,3*(D$6-1)+2)/3600*D103,D103)</f>
        <v>3.16165599255189</v>
      </c>
      <c r="E105" s="116" t="str">
        <f aca="false">IF(ISNUMBER(E103),INDEX(DC_Cost!$C$58:$Q$58,3*(E$6-1)+2)/3600*E103,E103)</f>
        <v>TTFT 不可達</v>
      </c>
      <c r="F105" s="116" t="n">
        <f aca="false">IF(ISNUMBER(F103),INDEX(DC_Cost!$C$58:$Q$58,3*(F$6-1)+2)/3600*F103,F103)</f>
        <v>0.162377864250437</v>
      </c>
      <c r="G105" s="116" t="n">
        <f aca="false">IF(ISNUMBER(G103),INDEX(DC_Cost!$C$58:$Q$58,3*(G$6-1)+2)/3600*G103,G103)</f>
        <v>0.565494858729786</v>
      </c>
      <c r="H105" s="116" t="n">
        <f aca="false">IF(ISNUMBER(H103),INDEX(DC_Cost!$C$58:$Q$58,3*(H$6-1)+2)/3600*H103,H103)</f>
        <v>3.30898231952609</v>
      </c>
      <c r="I105" s="116" t="n">
        <f aca="false">IF(ISNUMBER(I103),INDEX(DC_Cost!$C$58:$Q$58,3*(I$6-1)+2)/3600*I103,I103)</f>
        <v>0.137536094679954</v>
      </c>
      <c r="J105" s="116" t="n">
        <f aca="false">IF(ISNUMBER(J103),INDEX(DC_Cost!$C$58:$Q$58,3*(J$6-1)+2)/3600*J103,J103)</f>
        <v>0.478981262565029</v>
      </c>
      <c r="K105" s="116" t="n">
        <f aca="false">IF(ISNUMBER(K103),INDEX(DC_Cost!$C$58:$Q$58,3*(K$6-1)+2)/3600*K103,K103)</f>
        <v>3.48781422353906</v>
      </c>
      <c r="L105" s="116" t="n">
        <f aca="false">IF(ISNUMBER(L103),INDEX(DC_Cost!$C$58:$Q$58,3*(L$6-1)+2)/3600*L103,L103)</f>
        <v>0.103646620561882</v>
      </c>
      <c r="M105" s="116" t="n">
        <f aca="false">IF(ISNUMBER(M103),INDEX(DC_Cost!$C$58:$Q$58,3*(M$6-1)+2)/3600*M103,M103)</f>
        <v>0.329255999075451</v>
      </c>
      <c r="N105" s="116" t="n">
        <f aca="false">IF(ISNUMBER(N103),INDEX(DC_Cost!$C$58:$Q$58,3*(N$6-1)+2)/3600*N103,N103)</f>
        <v>1.70435816575049</v>
      </c>
      <c r="O105" s="116" t="n">
        <f aca="false">IF(ISNUMBER(O103),INDEX(DC_Cost!$C$58:$Q$58,3*(O$6-1)+2)/3600*O103,O103)</f>
        <v>0.0958818836336032</v>
      </c>
      <c r="P105" s="116" t="n">
        <f aca="false">IF(ISNUMBER(P103),INDEX(DC_Cost!$C$58:$Q$58,3*(P$6-1)+2)/3600*P103,P103)</f>
        <v>0.297190300678713</v>
      </c>
      <c r="Q105" s="116" t="n">
        <f aca="false">IF(ISNUMBER(Q103),INDEX(DC_Cost!$C$58:$Q$58,3*(Q$6-1)+2)/3600*Q103,Q103)</f>
        <v>1.43783105963287</v>
      </c>
    </row>
    <row r="106" customFormat="false" ht="15" hidden="false" customHeight="false" outlineLevel="0" collapsed="false">
      <c r="A106" s="75" t="s">
        <v>809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</row>
    <row r="107" customFormat="false" ht="15" hidden="false" customHeight="false" outlineLevel="0" collapsed="false">
      <c r="A107" s="60" t="s">
        <v>810</v>
      </c>
      <c r="B107" s="61" t="s">
        <v>811</v>
      </c>
      <c r="C107" s="117" t="n">
        <f aca="false">C23*Energy!$C$5/(C14*1000000000000000)*1000000000000</f>
        <v>0.212228398180899</v>
      </c>
      <c r="D107" s="117" t="n">
        <f aca="false">D23*Energy!$C$5/(D14*1000000000000000)*1000000000000</f>
        <v>0.212228398180899</v>
      </c>
      <c r="E107" s="117" t="n">
        <f aca="false">E23*Energy!$C$5/(E14*1000000000000000)*1000000000000</f>
        <v>0.212228398180899</v>
      </c>
      <c r="F107" s="117" t="n">
        <f aca="false">F23*Energy!$C$5/(F14*1000000000000000)*1000000000000</f>
        <v>0.072</v>
      </c>
      <c r="G107" s="117" t="n">
        <f aca="false">G23*Energy!$C$5/(G14*1000000000000000)*1000000000000</f>
        <v>0.072</v>
      </c>
      <c r="H107" s="117" t="n">
        <f aca="false">H23*Energy!$C$5/(H14*1000000000000000)*1000000000000</f>
        <v>0.072</v>
      </c>
      <c r="I107" s="117" t="n">
        <f aca="false">I23*Energy!$C$5/(I14*1000000000000000)*1000000000000</f>
        <v>0.056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0.056</v>
      </c>
      <c r="L107" s="117" t="n">
        <f aca="false">L23*Energy!$C$5/(L14*1000000000000000)*1000000000000</f>
        <v>0.0308571428571429</v>
      </c>
      <c r="M107" s="117" t="n">
        <f aca="false">M23*Energy!$C$5/(M14*1000000000000000)*1000000000000</f>
        <v>0.0308571428571429</v>
      </c>
      <c r="N107" s="117" t="n">
        <f aca="false">N23*Energy!$C$5/(N14*1000000000000000)*1000000000000</f>
        <v>0.0308571428571429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0.0308571428571429</v>
      </c>
      <c r="Q107" s="117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1" t="s">
        <v>812</v>
      </c>
      <c r="B108" s="61" t="s">
        <v>739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</row>
    <row r="109" customFormat="false" ht="15" hidden="false" customHeight="false" outlineLevel="0" collapsed="false">
      <c r="A109" s="61" t="s">
        <v>813</v>
      </c>
      <c r="B109" s="61" t="s">
        <v>493</v>
      </c>
      <c r="C109" s="74" t="n">
        <f aca="false">(C47+1)*C65/C49</f>
        <v>61.1578341827967</v>
      </c>
      <c r="D109" s="74" t="n">
        <f aca="false">(D47+1)*D65/D49</f>
        <v>210.622552323537</v>
      </c>
      <c r="E109" s="74" t="n">
        <f aca="false">(E47+1)*E65/E49</f>
        <v>838.732890959337</v>
      </c>
      <c r="F109" s="74" t="n">
        <f aca="false">(F47+1)*F65/F49</f>
        <v>61.1578341827967</v>
      </c>
      <c r="G109" s="74" t="n">
        <f aca="false">(G47+1)*G65/G49</f>
        <v>210.622552323537</v>
      </c>
      <c r="H109" s="74" t="n">
        <f aca="false">(H47+1)*H65/H49</f>
        <v>838.732890959337</v>
      </c>
      <c r="I109" s="74" t="n">
        <f aca="false">(I47+1)*I65/I49</f>
        <v>61.1578341827967</v>
      </c>
      <c r="J109" s="74" t="n">
        <f aca="false">(J47+1)*J65/J49</f>
        <v>210.622552323537</v>
      </c>
      <c r="K109" s="74" t="n">
        <f aca="false">(K47+1)*K65/K49</f>
        <v>838.732890959337</v>
      </c>
      <c r="L109" s="74" t="n">
        <f aca="false">(L47+1)*L65/L49</f>
        <v>61.1578341827967</v>
      </c>
      <c r="M109" s="74" t="n">
        <f aca="false">(M47+1)*M65/M49</f>
        <v>210.622552323537</v>
      </c>
      <c r="N109" s="74" t="n">
        <f aca="false">(N47+1)*N65/N49</f>
        <v>838.732890959337</v>
      </c>
      <c r="O109" s="74" t="n">
        <f aca="false">(O47+1)*O65/O49</f>
        <v>61.1578341827967</v>
      </c>
      <c r="P109" s="74" t="n">
        <f aca="false">(P47+1)*P65/P49</f>
        <v>210.622552323537</v>
      </c>
      <c r="Q109" s="74" t="n">
        <f aca="false">(Q47+1)*Q65/Q49</f>
        <v>838.732890959337</v>
      </c>
    </row>
    <row r="110" customFormat="false" ht="15" hidden="false" customHeight="false" outlineLevel="0" collapsed="false">
      <c r="A110" s="61" t="s">
        <v>814</v>
      </c>
      <c r="B110" s="61" t="s">
        <v>316</v>
      </c>
      <c r="C110" s="114" t="n">
        <f aca="false">IF(C87&gt;0,(C72+C87*C34*C45/1000000000)/(C87*C49),0)</f>
        <v>1.00417874259958</v>
      </c>
      <c r="D110" s="114" t="n">
        <f aca="false">IF(D87&gt;0,(D72+D87*D34*D45/1000000000)/(D87*D49),0)</f>
        <v>6.62046449033596</v>
      </c>
      <c r="E110" s="114" t="n">
        <f aca="false">IF(E87&gt;0,(E72+E87*E34*E45/1000000000)/(E87*E49),0)</f>
        <v>45.9645184072897</v>
      </c>
      <c r="F110" s="114" t="n">
        <f aca="false">IF(F87&gt;0,(F72+F87*F34*F45/1000000000)/(F87*F49),0)</f>
        <v>0.151749044977338</v>
      </c>
      <c r="G110" s="114" t="n">
        <f aca="false">IF(G87&gt;0,(G72+G87*G34*G45/1000000000)/(G87*G49),0)</f>
        <v>1.27695054250894</v>
      </c>
      <c r="H110" s="114" t="n">
        <f aca="false">IF(H87&gt;0,(H72+H87*H34*H45/1000000000)/(H87*H49),0)</f>
        <v>12.3694842953008</v>
      </c>
      <c r="I110" s="114" t="n">
        <f aca="false">IF(I87&gt;0,(I72+I87*I34*I45/1000000000)/(I87*I49),0)</f>
        <v>0.10436746175223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13.4547955318711</v>
      </c>
      <c r="L110" s="114" t="n">
        <f aca="false">IF(L87&gt;0,(L72+L87*L34*L45/1000000000)/(L87*L49),0)</f>
        <v>0.0476988574422308</v>
      </c>
      <c r="M110" s="114" t="n">
        <f aca="false">IF(M87&gt;0,(M72+M87*M34*M45/1000000000)/(M87*M49),0)</f>
        <v>0.332752090932984</v>
      </c>
      <c r="N110" s="114" t="n">
        <f aca="false">IF(N87&gt;0,(N72+N87*N34*N45/1000000000)/(N87*N49),0)</f>
        <v>4.09260745171922</v>
      </c>
      <c r="O110" s="114" t="n">
        <f aca="false">IF(O87&gt;0,(O72+O87*O34*O45/1000000000)/(O87*O49),0)</f>
        <v>0.0238868363088292</v>
      </c>
      <c r="P110" s="114" t="n">
        <f aca="false">IF(P87&gt;0,(P72+P87*P34*P45/1000000000)/(P87*P49),0)</f>
        <v>0.131463853114406</v>
      </c>
      <c r="Q110" s="114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61" t="s">
        <v>815</v>
      </c>
      <c r="B111" s="61" t="s">
        <v>316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</row>
    <row r="112" customFormat="false" ht="15" hidden="false" customHeight="false" outlineLevel="0" collapsed="false">
      <c r="A112" s="61" t="s">
        <v>816</v>
      </c>
      <c r="B112" s="61" t="s">
        <v>817</v>
      </c>
      <c r="C112" s="72" t="n">
        <f aca="false">(C109*C107+C110*C24+C111*C108)/1000</f>
        <v>0.0443092262812143</v>
      </c>
      <c r="D112" s="72" t="n">
        <f aca="false">(D109*D107+D110*D24+D111*D108)/1000</f>
        <v>0.250431633451779</v>
      </c>
      <c r="E112" s="72" t="n">
        <f aca="false">(E109*E107+E110*E24+E111*E108)/1000</f>
        <v>1.60662870300939</v>
      </c>
      <c r="F112" s="72" t="n">
        <f aca="false">(F109*F107+F110*F24+F111*F108)/1000</f>
        <v>0.00824715420454468</v>
      </c>
      <c r="G112" s="72" t="n">
        <f aca="false">(G109*G107+G110*G24+G111*G108)/1000</f>
        <v>0.0472128741677599</v>
      </c>
      <c r="H112" s="72" t="n">
        <f aca="false">(H109*H107+H110*H24+H111*H108)/1000</f>
        <v>0.370557299139961</v>
      </c>
      <c r="I112" s="72" t="n">
        <f aca="false">(I109*I107+I110*I24+I111*I108)/1000</f>
        <v>0.00608408927699223</v>
      </c>
      <c r="J112" s="72" t="n">
        <f aca="false">(J109*J107+J110*J24+J111*J108)/1000</f>
        <v>0.0334287371094518</v>
      </c>
      <c r="K112" s="72" t="n">
        <f aca="false">(K109*K107+K110*K24+K111*K108)/1000</f>
        <v>0.384270353798869</v>
      </c>
      <c r="L112" s="72" t="n">
        <f aca="false">(L109*L107+L110*L24+L111*L108)/1000</f>
        <v>0.00289119719400649</v>
      </c>
      <c r="M112" s="72" t="n">
        <f aca="false">(M109*M107+M110*M24+M111*M108)/1000</f>
        <v>0.0132785388423849</v>
      </c>
      <c r="N112" s="72" t="n">
        <f aca="false">(N109*N107+N110*N24+N111*N108)/1000</f>
        <v>0.108664473278071</v>
      </c>
      <c r="O112" s="72" t="n">
        <f aca="false">(O109*O107+O110*O24+O111*O108)/1000</f>
        <v>0.0023671830987208</v>
      </c>
      <c r="P112" s="72" t="n">
        <f aca="false">(P109*P107+P110*P24+P111*P108)/1000</f>
        <v>0.00898984637978455</v>
      </c>
      <c r="Q112" s="72" t="n">
        <f aca="false">(Q109*Q107+Q110*Q24+Q111*Q108)/1000</f>
        <v>0.0599000413425424</v>
      </c>
    </row>
    <row r="113" customFormat="false" ht="15" hidden="false" customHeight="false" outlineLevel="0" collapsed="false">
      <c r="A113" s="61" t="s">
        <v>818</v>
      </c>
      <c r="B113" s="61" t="s">
        <v>817</v>
      </c>
      <c r="C113" s="72" t="n">
        <f aca="false">C67*C107/1000</f>
        <v>0.0081198195438071</v>
      </c>
      <c r="D113" s="72" t="n">
        <f aca="false">D67*D107/1000</f>
        <v>0.0281822021142922</v>
      </c>
      <c r="E113" s="72" t="n">
        <f aca="false">E67*E107/1000</f>
        <v>0.0934931113976756</v>
      </c>
      <c r="F113" s="72" t="n">
        <f aca="false">F67*F107/1000</f>
        <v>0.00275470677894758</v>
      </c>
      <c r="G113" s="72" t="n">
        <f aca="false">G67*G107/1000</f>
        <v>0.00956101336871731</v>
      </c>
      <c r="H113" s="72" t="n">
        <f aca="false">H67*H107/1000</f>
        <v>0.0317182058496</v>
      </c>
      <c r="I113" s="72" t="n">
        <f aca="false">I67*I107/1000</f>
        <v>0.00214254971695923</v>
      </c>
      <c r="J113" s="72" t="n">
        <f aca="false">J67*J107/1000</f>
        <v>0.00743634373122458</v>
      </c>
      <c r="K113" s="72" t="n">
        <f aca="false">K67*K107/1000</f>
        <v>0.0246697156608</v>
      </c>
      <c r="L113" s="72" t="n">
        <f aca="false">L67*L107/1000</f>
        <v>0.00118058861954897</v>
      </c>
      <c r="M113" s="72" t="n">
        <f aca="false">M67*M107/1000</f>
        <v>0.00409757715802171</v>
      </c>
      <c r="N113" s="72" t="n">
        <f aca="false">N67*N107/1000</f>
        <v>0.0135935167926857</v>
      </c>
      <c r="O113" s="72" t="n">
        <f aca="false">O67*O107/1000</f>
        <v>0.00118058861954897</v>
      </c>
      <c r="P113" s="72" t="n">
        <f aca="false">P67*P107/1000</f>
        <v>0.00409757715802171</v>
      </c>
      <c r="Q113" s="72" t="n">
        <f aca="false">Q67*Q107/1000</f>
        <v>0.0135935167926857</v>
      </c>
    </row>
    <row r="114" customFormat="false" ht="15" hidden="false" customHeight="false" outlineLevel="0" collapsed="false">
      <c r="A114" s="60" t="s">
        <v>819</v>
      </c>
      <c r="B114" s="61" t="s">
        <v>743</v>
      </c>
      <c r="C114" s="74" t="n">
        <f aca="false">IF(ISNUMBER(C95),(C97*C113+C96*C112)/1000,C95)</f>
        <v>1.09902232223453</v>
      </c>
      <c r="D114" s="74" t="n">
        <f aca="false">IF(ISNUMBER(D95),(D97*D113+D96*D112)/1000,D95)</f>
        <v>1.38959140768278</v>
      </c>
      <c r="E114" s="74" t="str">
        <f aca="false">IF(ISNUMBER(E95),(E97*E113+E96*E112)/1000,E95)</f>
        <v>TTFT 不可達</v>
      </c>
      <c r="F114" s="74" t="n">
        <f aca="false">IF(ISNUMBER(F95),(F97*F113+F96*F112)/1000,F95)</f>
        <v>5.54730248699572</v>
      </c>
      <c r="G114" s="74" t="n">
        <f aca="false">IF(ISNUMBER(G95),(G97*G113+G96*G112)/1000,G95)</f>
        <v>6.51193790372237</v>
      </c>
      <c r="H114" s="74" t="n">
        <f aca="false">IF(ISNUMBER(H95),(H97*H113+H96*H112)/1000,H95)</f>
        <v>6.32576953204403</v>
      </c>
      <c r="I114" s="74" t="n">
        <f aca="false">IF(ISNUMBER(I95),(I97*I113+I96*I112)/1000,I95)</f>
        <v>6.38108318414603</v>
      </c>
      <c r="J114" s="74" t="n">
        <f aca="false">IF(ISNUMBER(J95),(J97*J113+J96*J112)/1000,J95)</f>
        <v>7.33728128497566</v>
      </c>
      <c r="K114" s="74" t="n">
        <f aca="false">IF(ISNUMBER(K95),(K97*K113+K96*K112)/1000,K95)</f>
        <v>7.34212898141256</v>
      </c>
      <c r="L114" s="74" t="n">
        <f aca="false">IF(ISNUMBER(L95),(L97*L113+L96*L112)/1000,L95)</f>
        <v>8.28910190352064</v>
      </c>
      <c r="M114" s="74" t="n">
        <f aca="false">IF(ISNUMBER(M95),(M97*M113+M96*M112)/1000,M95)</f>
        <v>9.50324638508435</v>
      </c>
      <c r="N114" s="74" t="n">
        <f aca="false">IF(ISNUMBER(N95),(N97*N113+N96*N112)/1000,N95)</f>
        <v>9.67305562039299</v>
      </c>
      <c r="O114" s="74" t="n">
        <f aca="false">IF(ISNUMBER(O95),(O97*O113+O96*O112)/1000,O95)</f>
        <v>16.0678961336886</v>
      </c>
      <c r="P114" s="74" t="n">
        <f aca="false">IF(ISNUMBER(P95),(P97*P113+P96*P112)/1000,P95)</f>
        <v>17.7467073809376</v>
      </c>
      <c r="Q114" s="74" t="n">
        <f aca="false">IF(ISNUMBER(Q95),(Q97*Q113+Q96*Q112)/1000,Q95)</f>
        <v>16.343451469026</v>
      </c>
    </row>
    <row r="115" customFormat="false" ht="15" hidden="false" customHeight="false" outlineLevel="0" collapsed="false">
      <c r="A115" s="60" t="s">
        <v>820</v>
      </c>
      <c r="B115" s="61" t="s">
        <v>743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0" t="s">
        <v>821</v>
      </c>
      <c r="B116" s="61" t="s">
        <v>99</v>
      </c>
      <c r="C116" s="118" t="n">
        <f aca="false">IF(ISNUMBER(C114),IF(C115&gt;0,C114/C115,0),C114)</f>
        <v>0.0335067781169064</v>
      </c>
      <c r="D116" s="118" t="n">
        <f aca="false">IF(ISNUMBER(D114),IF(D115&gt;0,D114/D115,0),D114)</f>
        <v>0.0423655916976456</v>
      </c>
      <c r="E116" s="118" t="str">
        <f aca="false">IF(ISNUMBER(E114),IF(E115&gt;0,E114/E115,0),E114)</f>
        <v>TTFT 不可達</v>
      </c>
      <c r="F116" s="118" t="n">
        <f aca="false">IF(ISNUMBER(F114),IF(F115&gt;0,F114/F115,0),F114)</f>
        <v>0.0525312735510958</v>
      </c>
      <c r="G116" s="118" t="n">
        <f aca="false">IF(ISNUMBER(G114),IF(G115&gt;0,G114/G115,0),G114)</f>
        <v>0.0616660786337345</v>
      </c>
      <c r="H116" s="118" t="n">
        <f aca="false">IF(ISNUMBER(H114),IF(H115&gt;0,H114/H115,0),H114)</f>
        <v>0.0599031205685987</v>
      </c>
      <c r="I116" s="118" t="n">
        <f aca="false">IF(ISNUMBER(I114),IF(I115&gt;0,I114/I115,0),I114)</f>
        <v>0.0586496616189893</v>
      </c>
      <c r="J116" s="118" t="n">
        <f aca="false">IF(ISNUMBER(J114),IF(J115&gt;0,J114/J115,0),J114)</f>
        <v>0.0674382471045557</v>
      </c>
      <c r="K116" s="118" t="n">
        <f aca="false">IF(ISNUMBER(K114),IF(K115&gt;0,K114/K115,0),K114)</f>
        <v>0.067482803137983</v>
      </c>
      <c r="L116" s="118" t="n">
        <f aca="false">IF(ISNUMBER(L114),IF(L115&gt;0,L114/L115,0),L114)</f>
        <v>0.0456448342704881</v>
      </c>
      <c r="M116" s="118" t="n">
        <f aca="false">IF(ISNUMBER(M114),IF(M115&gt;0,M114/M115,0),M114)</f>
        <v>0.0523306519002442</v>
      </c>
      <c r="N116" s="118" t="n">
        <f aca="false">IF(ISNUMBER(N114),IF(N115&gt;0,N114/N115,0),N114)</f>
        <v>0.0532657247818997</v>
      </c>
      <c r="O116" s="118" t="n">
        <f aca="false">IF(ISNUMBER(O114),IF(O115&gt;0,O114/O115,0),O114)</f>
        <v>0.0590731475503258</v>
      </c>
      <c r="P116" s="118" t="n">
        <f aca="false">IF(ISNUMBER(P114),IF(P115&gt;0,P114/P115,0),P114)</f>
        <v>0.0652452477240353</v>
      </c>
      <c r="Q116" s="118" t="n">
        <f aca="false">IF(ISNUMBER(Q114),IF(Q115&gt;0,Q114/Q115,0),Q114)</f>
        <v>0.060086218636125</v>
      </c>
    </row>
    <row r="117" customFormat="false" ht="15" hidden="false" customHeight="false" outlineLevel="0" collapsed="false">
      <c r="A117" s="61" t="s">
        <v>822</v>
      </c>
      <c r="B117" s="61" t="s">
        <v>823</v>
      </c>
      <c r="C117" s="119" t="n">
        <f aca="false">IF(ISNUMBER(C95),C95/(C115*1000),C95)</f>
        <v>2.7598345622944</v>
      </c>
      <c r="D117" s="119" t="n">
        <f aca="false">IF(ISNUMBER(D95),D95/(D115*1000),D95)</f>
        <v>0.801216512004571</v>
      </c>
      <c r="E117" s="119" t="str">
        <f aca="false">IF(ISNUMBER(E95),E95/(E115*1000),E95)</f>
        <v>TTFT 不可達</v>
      </c>
      <c r="F117" s="119" t="n">
        <f aca="false">IF(ISNUMBER(F95),F95/(F115*1000),F95)</f>
        <v>15.611175581877</v>
      </c>
      <c r="G117" s="119" t="n">
        <f aca="false">IF(ISNUMBER(G95),G95/(G115*1000),G95)</f>
        <v>4.48658290896209</v>
      </c>
      <c r="H117" s="119" t="n">
        <f aca="false">IF(ISNUMBER(H95),H95/(H115*1000),H95)</f>
        <v>0.863568061990211</v>
      </c>
      <c r="I117" s="119" t="n">
        <f aca="false">IF(ISNUMBER(I95),I95/(I115*1000),I95)</f>
        <v>22.7280350383209</v>
      </c>
      <c r="J117" s="119" t="n">
        <f aca="false">IF(ISNUMBER(J95),J95/(J115*1000),J95)</f>
        <v>6.5319368821654</v>
      </c>
      <c r="K117" s="119" t="n">
        <f aca="false">IF(ISNUMBER(K95),K95/(K115*1000),K95)</f>
        <v>1.0442157971414</v>
      </c>
      <c r="L117" s="119" t="n">
        <f aca="false">IF(ISNUMBER(L95),L95/(L115*1000),L95)</f>
        <v>33.3014456681102</v>
      </c>
      <c r="M117" s="119" t="n">
        <f aca="false">IF(ISNUMBER(M95),M95/(M115*1000),M95)</f>
        <v>10.2254558466635</v>
      </c>
      <c r="N117" s="119" t="n">
        <f aca="false">IF(ISNUMBER(N95),N95/(N115*1000),N95)</f>
        <v>2.20498492836244</v>
      </c>
      <c r="O117" s="119" t="n">
        <f aca="false">IF(ISNUMBER(O95),O95/(O115*1000),O95)</f>
        <v>45.0104289365576</v>
      </c>
      <c r="P117" s="119" t="n">
        <f aca="false">IF(ISNUMBER(P95),P95/(P115*1000),P95)</f>
        <v>14.0579533548284</v>
      </c>
      <c r="Q117" s="119" t="n">
        <f aca="false">IF(ISNUMBER(Q95),Q95/(Q115*1000),Q95)</f>
        <v>3.20653316012323</v>
      </c>
    </row>
    <row r="118" customFormat="false" ht="15" hidden="false" customHeight="false" outlineLevel="0" collapsed="false">
      <c r="A118" s="60" t="s">
        <v>824</v>
      </c>
      <c r="B118" s="61" t="s">
        <v>817</v>
      </c>
      <c r="C118" s="114" t="n">
        <f aca="false">IF(ISNUMBER(C96),IF(C96&gt;0,C115*1000*(1-C94)/C96,0),C96)</f>
        <v>2.20366532630978</v>
      </c>
      <c r="D118" s="114" t="n">
        <f aca="false">IF(ISNUMBER(D96),IF(D96&gt;0,D115*1000*(1-D94)/D96,0),D96)</f>
        <v>7.56290465496773</v>
      </c>
      <c r="E118" s="114" t="str">
        <f aca="false">IF(ISNUMBER(E96),IF(E96&gt;0,E115*1000*(1-E94)/E96,0),E96)</f>
        <v>TTFT 不可達</v>
      </c>
      <c r="F118" s="114" t="n">
        <f aca="false">IF(ISNUMBER(F96),IF(F96&gt;0,F115*1000*(1-F94)/F96,0),F96)</f>
        <v>0.426871681714251</v>
      </c>
      <c r="G118" s="114" t="n">
        <f aca="false">IF(ISNUMBER(G96),IF(G96&gt;0,G115*1000*(1-G94)/G96,0),G96)</f>
        <v>1.48661729516557</v>
      </c>
      <c r="H118" s="114" t="n">
        <f aca="false">IF(ISNUMBER(H96),IF(H96&gt;0,H115*1000*(1-H94)/H96,0),H96)</f>
        <v>8.69891258897392</v>
      </c>
      <c r="I118" s="114" t="n">
        <f aca="false">IF(ISNUMBER(I96),IF(I96&gt;0,I115*1000*(1-I94)/I96,0),I96)</f>
        <v>0.293204791480496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7.43545790299751</v>
      </c>
      <c r="L118" s="114" t="n">
        <f aca="false">IF(ISNUMBER(L96),IF(L96&gt;0,L115*1000*(1-L94)/L96,0),L96)</f>
        <v>0.196734911449261</v>
      </c>
      <c r="M118" s="114" t="n">
        <f aca="false">IF(ISNUMBER(M96),IF(M96&gt;0,M115*1000*(1-M94)/M96,0),M96)</f>
        <v>0.624971170995125</v>
      </c>
      <c r="N118" s="114" t="n">
        <f aca="false">IF(ISNUMBER(N96),IF(N96&gt;0,N115*1000*(1-N94)/N96,0),N96)</f>
        <v>3.2350958574337</v>
      </c>
      <c r="O118" s="114" t="n">
        <f aca="false">IF(ISNUMBER(O96),IF(O96&gt;0,O115*1000*(1-O94)/O96,0),O96)</f>
        <v>0.14489191359395</v>
      </c>
      <c r="P118" s="114" t="n">
        <f aca="false">IF(ISNUMBER(P96),IF(P96&gt;0,P115*1000*(1-P94)/P96,0),P96)</f>
        <v>0.449099138805497</v>
      </c>
      <c r="Q118" s="114" t="n">
        <f aca="false">IF(ISNUMBER(Q96),IF(Q96&gt;0,Q115*1000*(1-Q94)/Q96,0),Q96)</f>
        <v>2.17277848285837</v>
      </c>
    </row>
    <row r="119" customFormat="false" ht="15" hidden="false" customHeight="false" outlineLevel="0" collapsed="false">
      <c r="A119" s="75" t="s">
        <v>825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</row>
    <row r="120" customFormat="false" ht="15" hidden="false" customHeight="false" outlineLevel="0" collapsed="false">
      <c r="A120" s="61" t="s">
        <v>826</v>
      </c>
      <c r="B120" s="61" t="s">
        <v>103</v>
      </c>
      <c r="C120" s="104" t="n">
        <f aca="false">IF(AND(ISNUMBER(C98),ISNUMBER(INDEX($C$98:$Q$98,9+C$7))),IF(INDEX($C$98:$Q$98,9+C$7)&gt;0,C98/INDEX($C$98:$Q$98,9+C$7),0),"SLO 不可達")</f>
        <v>0.082891886418064</v>
      </c>
      <c r="D120" s="104" t="n">
        <f aca="false">IF(AND(ISNUMBER(D98),ISNUMBER(INDEX($C$98:$Q$98,9+D$7))),IF(INDEX($C$98:$Q$98,9+D$7)&gt;0,D98/INDEX($C$98:$Q$98,9+D$7),0),"SLO 不可達")</f>
        <v>0.0783717012986278</v>
      </c>
      <c r="E120" s="104" t="str">
        <f aca="false">IF(AND(ISNUMBER(E98),ISNUMBER(INDEX($C$98:$Q$98,9+E$7))),IF(INDEX($C$98:$Q$98,9+E$7)&gt;0,E98/INDEX($C$98:$Q$98,9+E$7),0),"SLO 不可達")</f>
        <v>SLO 不可達</v>
      </c>
      <c r="F120" s="104" t="n">
        <f aca="false">IF(AND(ISNUMBER(F98),ISNUMBER(INDEX($C$98:$Q$98,9+F$7))),IF(INDEX($C$98:$Q$98,9+F$7)&gt;0,F98/INDEX($C$98:$Q$98,9+F$7),0),"SLO 不可達")</f>
        <v>0.468836724240545</v>
      </c>
      <c r="G120" s="104" t="n">
        <f aca="false">IF(AND(ISNUMBER(G98),ISNUMBER(INDEX($C$98:$Q$98,9+G$7))),IF(INDEX($C$98:$Q$98,9+G$7)&gt;0,G98/INDEX($C$98:$Q$98,9+G$7),0),"SLO 不可達")</f>
        <v>0.438815663894134</v>
      </c>
      <c r="H120" s="104" t="n">
        <f aca="false">IF(AND(ISNUMBER(H98),ISNUMBER(INDEX($C$98:$Q$98,9+H$7))),IF(INDEX($C$98:$Q$98,9+H$7)&gt;0,H98/INDEX($C$98:$Q$98,9+H$7),0),"SLO 不可達")</f>
        <v>0.39168780358556</v>
      </c>
      <c r="I120" s="104" t="n">
        <f aca="false">IF(AND(ISNUMBER(I98),ISNUMBER(INDEX($C$98:$Q$98,9+I$7))),IF(INDEX($C$98:$Q$98,9+I$7)&gt;0,I98/INDEX($C$98:$Q$98,9+I$7),0),"SLO 不可達")</f>
        <v>0.682568145235267</v>
      </c>
      <c r="J120" s="104" t="n">
        <f aca="false">IF(AND(ISNUMBER(J98),ISNUMBER(INDEX($C$98:$Q$98,9+J$7))),IF(INDEX($C$98:$Q$98,9+J$7)&gt;0,J98/INDEX($C$98:$Q$98,9+J$7),0),"SLO 不可達")</f>
        <v>0.638861203310358</v>
      </c>
      <c r="K120" s="104" t="n">
        <f aca="false">IF(AND(ISNUMBER(K98),ISNUMBER(INDEX($C$98:$Q$98,9+K$7))),IF(INDEX($C$98:$Q$98,9+K$7)&gt;0,K98/INDEX($C$98:$Q$98,9+K$7),0),"SLO 不可達")</f>
        <v>0.473621977915297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1.35145303196207</v>
      </c>
      <c r="P120" s="104" t="n">
        <f aca="false">IF(AND(ISNUMBER(P98),ISNUMBER(INDEX($C$98:$Q$98,9+P$7))),IF(INDEX($C$98:$Q$98,9+P$7)&gt;0,P98/INDEX($C$98:$Q$98,9+P$7),0),"SLO 不可達")</f>
        <v>1.37464422780115</v>
      </c>
      <c r="Q120" s="104" t="n">
        <f aca="false">IF(AND(ISNUMBER(Q98),ISNUMBER(INDEX($C$98:$Q$98,9+Q$7))),IF(INDEX($C$98:$Q$98,9+Q$7)&gt;0,Q98/INDEX($C$98:$Q$98,9+Q$7),0),"SLO 不可達")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7" t="s">
        <v>827</v>
      </c>
    </row>
    <row r="2" customFormat="false" ht="15" hidden="false" customHeight="false" outlineLevel="0" collapsed="false">
      <c r="A2" s="73" t="s">
        <v>828</v>
      </c>
    </row>
    <row r="3" customFormat="false" ht="43.5" hidden="false" customHeight="true" outlineLevel="0" collapsed="false">
      <c r="A3" s="59" t="s">
        <v>829</v>
      </c>
      <c r="C3" s="120" t="s">
        <v>85</v>
      </c>
      <c r="D3" s="120"/>
      <c r="E3" s="121" t="s">
        <v>830</v>
      </c>
      <c r="F3" s="121"/>
      <c r="G3" s="121" t="s">
        <v>831</v>
      </c>
      <c r="H3" s="121"/>
      <c r="I3" s="121" t="s">
        <v>832</v>
      </c>
      <c r="J3" s="121"/>
      <c r="K3" s="121" t="s">
        <v>833</v>
      </c>
      <c r="L3" s="121"/>
      <c r="M3" s="121" t="s">
        <v>834</v>
      </c>
      <c r="N3" s="121"/>
      <c r="O3" s="121" t="s">
        <v>835</v>
      </c>
      <c r="P3" s="121"/>
      <c r="Q3" s="121" t="s">
        <v>836</v>
      </c>
      <c r="R3" s="121"/>
      <c r="S3" s="121" t="s">
        <v>837</v>
      </c>
      <c r="T3" s="121"/>
      <c r="U3" s="121" t="s">
        <v>838</v>
      </c>
      <c r="V3" s="121"/>
      <c r="W3" s="121" t="s">
        <v>839</v>
      </c>
      <c r="X3" s="121"/>
      <c r="Y3" s="121" t="s">
        <v>840</v>
      </c>
      <c r="Z3" s="121"/>
      <c r="AA3" s="120" t="s">
        <v>841</v>
      </c>
      <c r="AB3" s="120"/>
      <c r="AC3" s="121" t="s">
        <v>842</v>
      </c>
      <c r="AD3" s="121"/>
      <c r="AE3" s="121" t="s">
        <v>843</v>
      </c>
      <c r="AF3" s="121"/>
      <c r="AG3" s="121" t="s">
        <v>844</v>
      </c>
      <c r="AH3" s="121"/>
    </row>
    <row r="4" customFormat="false" ht="15" hidden="false" customHeight="false" outlineLevel="0" collapsed="false">
      <c r="A4" s="59" t="s">
        <v>171</v>
      </c>
      <c r="C4" s="81" t="str">
        <f aca="false">INDEX(Spec_Rack!$C$4:$G$4,C6)</f>
        <v>VR200 NVL72</v>
      </c>
      <c r="D4" s="81" t="str">
        <f aca="false">INDEX(Spec_Rack!$C$4:$G$4,D6)</f>
        <v>GB300 NVL72</v>
      </c>
      <c r="E4" s="81" t="str">
        <f aca="false">INDEX(Spec_Rack!$C$4:$G$4,E6)</f>
        <v>VR200 NVL72</v>
      </c>
      <c r="F4" s="81" t="str">
        <f aca="false">INDEX(Spec_Rack!$C$4:$G$4,F6)</f>
        <v>GB300 NVL72</v>
      </c>
      <c r="G4" s="81" t="str">
        <f aca="false">INDEX(Spec_Rack!$C$4:$G$4,G6)</f>
        <v>VR200 NVL72</v>
      </c>
      <c r="H4" s="81" t="str">
        <f aca="false">INDEX(Spec_Rack!$C$4:$G$4,H6)</f>
        <v>GB300 NVL72</v>
      </c>
      <c r="I4" s="81" t="str">
        <f aca="false">INDEX(Spec_Rack!$C$4:$G$4,I6)</f>
        <v>VR200 NVL72</v>
      </c>
      <c r="J4" s="81" t="str">
        <f aca="false">INDEX(Spec_Rack!$C$4:$G$4,J6)</f>
        <v>GB300 NVL72</v>
      </c>
      <c r="K4" s="81" t="str">
        <f aca="false">INDEX(Spec_Rack!$C$4:$G$4,K6)</f>
        <v>VR200 NVL72</v>
      </c>
      <c r="L4" s="81" t="str">
        <f aca="false">INDEX(Spec_Rack!$C$4:$G$4,L6)</f>
        <v>GB300 NVL72</v>
      </c>
      <c r="M4" s="81" t="str">
        <f aca="false">INDEX(Spec_Rack!$C$4:$G$4,M6)</f>
        <v>VR200 NVL72</v>
      </c>
      <c r="N4" s="81" t="str">
        <f aca="false">INDEX(Spec_Rack!$C$4:$G$4,N6)</f>
        <v>GB300 NVL72</v>
      </c>
      <c r="O4" s="81" t="str">
        <f aca="false">INDEX(Spec_Rack!$C$4:$G$4,O6)</f>
        <v>VR200 NVL72</v>
      </c>
      <c r="P4" s="81" t="str">
        <f aca="false">INDEX(Spec_Rack!$C$4:$G$4,P6)</f>
        <v>GB300 NVL72</v>
      </c>
      <c r="Q4" s="81" t="str">
        <f aca="false">INDEX(Spec_Rack!$C$4:$G$4,Q6)</f>
        <v>VR200 NVL72</v>
      </c>
      <c r="R4" s="81" t="str">
        <f aca="false">INDEX(Spec_Rack!$C$4:$G$4,R6)</f>
        <v>GB300 NVL72</v>
      </c>
      <c r="S4" s="81" t="str">
        <f aca="false">INDEX(Spec_Rack!$C$4:$G$4,S6)</f>
        <v>VR200 NVL72</v>
      </c>
      <c r="T4" s="81" t="str">
        <f aca="false">INDEX(Spec_Rack!$C$4:$G$4,T6)</f>
        <v>GB300 NVL72</v>
      </c>
      <c r="U4" s="81" t="str">
        <f aca="false">INDEX(Spec_Rack!$C$4:$G$4,U6)</f>
        <v>VR200 NVL72</v>
      </c>
      <c r="V4" s="81" t="str">
        <f aca="false">INDEX(Spec_Rack!$C$4:$G$4,V6)</f>
        <v>GB300 NVL72</v>
      </c>
      <c r="W4" s="81" t="str">
        <f aca="false">INDEX(Spec_Rack!$C$4:$G$4,W6)</f>
        <v>VR200 NVL72</v>
      </c>
      <c r="X4" s="81" t="str">
        <f aca="false">INDEX(Spec_Rack!$C$4:$G$4,X6)</f>
        <v>GB300 NVL72</v>
      </c>
      <c r="Y4" s="81" t="str">
        <f aca="false">INDEX(Spec_Rack!$C$4:$G$4,Y6)</f>
        <v>VR200 NVL72</v>
      </c>
      <c r="Z4" s="81" t="str">
        <f aca="false">INDEX(Spec_Rack!$C$4:$G$4,Z6)</f>
        <v>GB300 NVL72</v>
      </c>
      <c r="AA4" s="81" t="str">
        <f aca="false">INDEX(Spec_Rack!$C$4:$G$4,AA6)</f>
        <v>VR200 NVL72</v>
      </c>
      <c r="AB4" s="81" t="str">
        <f aca="false">INDEX(Spec_Rack!$C$4:$G$4,AB6)</f>
        <v>GB300 NVL72</v>
      </c>
      <c r="AC4" s="81" t="str">
        <f aca="false">INDEX(Spec_Rack!$C$4:$G$4,AC6)</f>
        <v>VR200 NVL72</v>
      </c>
      <c r="AD4" s="81" t="str">
        <f aca="false">INDEX(Spec_Rack!$C$4:$G$4,AD6)</f>
        <v>GB300 NVL72</v>
      </c>
      <c r="AE4" s="81" t="str">
        <f aca="false">INDEX(Spec_Rack!$C$4:$G$4,AE6)</f>
        <v>VR200 NVL72</v>
      </c>
      <c r="AF4" s="81" t="str">
        <f aca="false">INDEX(Spec_Rack!$C$4:$G$4,AF6)</f>
        <v>GB300 NVL72</v>
      </c>
      <c r="AG4" s="81" t="str">
        <f aca="false">INDEX(Spec_Rack!$C$4:$G$4,AG6)</f>
        <v>VR200 NVL72</v>
      </c>
      <c r="AH4" s="81" t="str">
        <f aca="false">INDEX(Spec_Rack!$C$4:$G$4,AH6)</f>
        <v>GB300 NVL72</v>
      </c>
    </row>
    <row r="5" customFormat="false" ht="15" hidden="false" customHeight="false" outlineLevel="0" collapsed="false">
      <c r="A5" s="59" t="s">
        <v>722</v>
      </c>
      <c r="C5" s="81" t="str">
        <f aca="false">INDEX(Arch!$C$4:$E$4,C7)</f>
        <v>Sol（中層）</v>
      </c>
      <c r="D5" s="81" t="str">
        <f aca="false">INDEX(Arch!$C$4:$E$4,D7)</f>
        <v>Sol（中層）</v>
      </c>
      <c r="E5" s="81" t="str">
        <f aca="false">INDEX(Arch!$C$4:$E$4,E7)</f>
        <v>Sol（中層）</v>
      </c>
      <c r="F5" s="81" t="str">
        <f aca="false">INDEX(Arch!$C$4:$E$4,F7)</f>
        <v>Sol（中層）</v>
      </c>
      <c r="G5" s="81" t="str">
        <f aca="false">INDEX(Arch!$C$4:$E$4,G7)</f>
        <v>Sol（中層）</v>
      </c>
      <c r="H5" s="81" t="str">
        <f aca="false">INDEX(Arch!$C$4:$E$4,H7)</f>
        <v>Sol（中層）</v>
      </c>
      <c r="I5" s="81" t="str">
        <f aca="false">INDEX(Arch!$C$4:$E$4,I7)</f>
        <v>Sol（中層）</v>
      </c>
      <c r="J5" s="81" t="str">
        <f aca="false">INDEX(Arch!$C$4:$E$4,J7)</f>
        <v>Sol（中層）</v>
      </c>
      <c r="K5" s="81" t="str">
        <f aca="false">INDEX(Arch!$C$4:$E$4,K7)</f>
        <v>Sol（中層）</v>
      </c>
      <c r="L5" s="81" t="str">
        <f aca="false">INDEX(Arch!$C$4:$E$4,L7)</f>
        <v>Sol（中層）</v>
      </c>
      <c r="M5" s="81" t="str">
        <f aca="false">INDEX(Arch!$C$4:$E$4,M7)</f>
        <v>Sol（中層）</v>
      </c>
      <c r="N5" s="81" t="str">
        <f aca="false">INDEX(Arch!$C$4:$E$4,N7)</f>
        <v>Sol（中層）</v>
      </c>
      <c r="O5" s="81" t="str">
        <f aca="false">INDEX(Arch!$C$4:$E$4,O7)</f>
        <v>Sol（中層）</v>
      </c>
      <c r="P5" s="81" t="str">
        <f aca="false">INDEX(Arch!$C$4:$E$4,P7)</f>
        <v>Sol（中層）</v>
      </c>
      <c r="Q5" s="81" t="str">
        <f aca="false">INDEX(Arch!$C$4:$E$4,Q7)</f>
        <v>Sol（中層）</v>
      </c>
      <c r="R5" s="81" t="str">
        <f aca="false">INDEX(Arch!$C$4:$E$4,R7)</f>
        <v>Sol（中層）</v>
      </c>
      <c r="S5" s="81" t="str">
        <f aca="false">INDEX(Arch!$C$4:$E$4,S7)</f>
        <v>Sol（中層）</v>
      </c>
      <c r="T5" s="81" t="str">
        <f aca="false">INDEX(Arch!$C$4:$E$4,T7)</f>
        <v>Sol（中層）</v>
      </c>
      <c r="U5" s="81" t="str">
        <f aca="false">INDEX(Arch!$C$4:$E$4,U7)</f>
        <v>Sol（中層）</v>
      </c>
      <c r="V5" s="81" t="str">
        <f aca="false">INDEX(Arch!$C$4:$E$4,V7)</f>
        <v>Sol（中層）</v>
      </c>
      <c r="W5" s="81" t="str">
        <f aca="false">INDEX(Arch!$C$4:$E$4,W7)</f>
        <v>Sol（中層）</v>
      </c>
      <c r="X5" s="81" t="str">
        <f aca="false">INDEX(Arch!$C$4:$E$4,X7)</f>
        <v>Sol（中層）</v>
      </c>
      <c r="Y5" s="81" t="str">
        <f aca="false">INDEX(Arch!$C$4:$E$4,Y7)</f>
        <v>Sol（中層）</v>
      </c>
      <c r="Z5" s="81" t="str">
        <f aca="false">INDEX(Arch!$C$4:$E$4,Z7)</f>
        <v>Sol（中層）</v>
      </c>
      <c r="AA5" s="81" t="str">
        <f aca="false">INDEX(Arch!$C$4:$E$4,AA7)</f>
        <v>Sol（中層）</v>
      </c>
      <c r="AB5" s="81" t="str">
        <f aca="false">INDEX(Arch!$C$4:$E$4,AB7)</f>
        <v>Sol（中層）</v>
      </c>
      <c r="AC5" s="81" t="str">
        <f aca="false">INDEX(Arch!$C$4:$E$4,AC7)</f>
        <v>Astra（頂層）</v>
      </c>
      <c r="AD5" s="81" t="str">
        <f aca="false">INDEX(Arch!$C$4:$E$4,AD7)</f>
        <v>Astra（頂層）</v>
      </c>
      <c r="AE5" s="81" t="str">
        <f aca="false">INDEX(Arch!$C$4:$E$4,AE7)</f>
        <v>Astra（頂層）</v>
      </c>
      <c r="AF5" s="81" t="str">
        <f aca="false">INDEX(Arch!$C$4:$E$4,AF7)</f>
        <v>Astra（頂層）</v>
      </c>
      <c r="AG5" s="81" t="str">
        <f aca="false">INDEX(Arch!$C$4:$E$4,AG7)</f>
        <v>Astra（頂層）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59" t="s">
        <v>452</v>
      </c>
      <c r="C6" s="66" t="n">
        <v>4</v>
      </c>
      <c r="D6" s="66" t="n">
        <v>3</v>
      </c>
      <c r="E6" s="66" t="n">
        <v>4</v>
      </c>
      <c r="F6" s="66" t="n">
        <v>3</v>
      </c>
      <c r="G6" s="66" t="n">
        <v>4</v>
      </c>
      <c r="H6" s="66" t="n">
        <v>3</v>
      </c>
      <c r="I6" s="66" t="n">
        <v>4</v>
      </c>
      <c r="J6" s="66" t="n">
        <v>3</v>
      </c>
      <c r="K6" s="66" t="n">
        <v>4</v>
      </c>
      <c r="L6" s="66" t="n">
        <v>3</v>
      </c>
      <c r="M6" s="66" t="n">
        <v>4</v>
      </c>
      <c r="N6" s="66" t="n">
        <v>3</v>
      </c>
      <c r="O6" s="66" t="n">
        <v>4</v>
      </c>
      <c r="P6" s="66" t="n">
        <v>3</v>
      </c>
      <c r="Q6" s="66" t="n">
        <v>4</v>
      </c>
      <c r="R6" s="66" t="n">
        <v>3</v>
      </c>
      <c r="S6" s="66" t="n">
        <v>4</v>
      </c>
      <c r="T6" s="66" t="n">
        <v>3</v>
      </c>
      <c r="U6" s="66" t="n">
        <v>4</v>
      </c>
      <c r="V6" s="66" t="n">
        <v>3</v>
      </c>
      <c r="W6" s="66" t="n">
        <v>4</v>
      </c>
      <c r="X6" s="66" t="n">
        <v>3</v>
      </c>
      <c r="Y6" s="66" t="n">
        <v>4</v>
      </c>
      <c r="Z6" s="66" t="n">
        <v>3</v>
      </c>
      <c r="AA6" s="66" t="n">
        <v>4</v>
      </c>
      <c r="AB6" s="66" t="n">
        <v>3</v>
      </c>
      <c r="AC6" s="66" t="n">
        <v>4</v>
      </c>
      <c r="AD6" s="66" t="n">
        <v>3</v>
      </c>
      <c r="AE6" s="66" t="n">
        <v>4</v>
      </c>
      <c r="AF6" s="66" t="n">
        <v>3</v>
      </c>
      <c r="AG6" s="66" t="n">
        <v>4</v>
      </c>
      <c r="AH6" s="66" t="n">
        <v>3</v>
      </c>
    </row>
    <row r="7" customFormat="false" ht="15" hidden="false" customHeight="false" outlineLevel="0" collapsed="false">
      <c r="A7" s="59" t="s">
        <v>723</v>
      </c>
      <c r="C7" s="66" t="n">
        <v>2</v>
      </c>
      <c r="D7" s="66" t="n">
        <v>2</v>
      </c>
      <c r="E7" s="66" t="n">
        <v>2</v>
      </c>
      <c r="F7" s="66" t="n">
        <v>2</v>
      </c>
      <c r="G7" s="66" t="n">
        <v>2</v>
      </c>
      <c r="H7" s="66" t="n">
        <v>2</v>
      </c>
      <c r="I7" s="66" t="n">
        <v>2</v>
      </c>
      <c r="J7" s="66" t="n">
        <v>2</v>
      </c>
      <c r="K7" s="66" t="n">
        <v>2</v>
      </c>
      <c r="L7" s="66" t="n">
        <v>2</v>
      </c>
      <c r="M7" s="66" t="n">
        <v>2</v>
      </c>
      <c r="N7" s="66" t="n">
        <v>2</v>
      </c>
      <c r="O7" s="66" t="n">
        <v>2</v>
      </c>
      <c r="P7" s="66" t="n">
        <v>2</v>
      </c>
      <c r="Q7" s="66" t="n">
        <v>2</v>
      </c>
      <c r="R7" s="66" t="n">
        <v>2</v>
      </c>
      <c r="S7" s="66" t="n">
        <v>2</v>
      </c>
      <c r="T7" s="66" t="n">
        <v>2</v>
      </c>
      <c r="U7" s="66" t="n">
        <v>2</v>
      </c>
      <c r="V7" s="66" t="n">
        <v>2</v>
      </c>
      <c r="W7" s="66" t="n">
        <v>2</v>
      </c>
      <c r="X7" s="66" t="n">
        <v>2</v>
      </c>
      <c r="Y7" s="66" t="n">
        <v>2</v>
      </c>
      <c r="Z7" s="66" t="n">
        <v>2</v>
      </c>
      <c r="AA7" s="66" t="n">
        <v>2</v>
      </c>
      <c r="AB7" s="66" t="n">
        <v>2</v>
      </c>
      <c r="AC7" s="66" t="n">
        <v>3</v>
      </c>
      <c r="AD7" s="66" t="n">
        <v>3</v>
      </c>
      <c r="AE7" s="66" t="n">
        <v>3</v>
      </c>
      <c r="AF7" s="66" t="n">
        <v>3</v>
      </c>
      <c r="AG7" s="66" t="n">
        <v>3</v>
      </c>
      <c r="AH7" s="66" t="n">
        <v>3</v>
      </c>
    </row>
    <row r="9" customFormat="false" ht="15" hidden="false" customHeight="false" outlineLevel="0" collapsed="false">
      <c r="A9" s="75" t="s">
        <v>724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</row>
    <row r="10" customFormat="false" ht="15" hidden="false" customHeight="false" outlineLevel="0" collapsed="false">
      <c r="A10" s="61" t="s">
        <v>725</v>
      </c>
      <c r="B10" s="61" t="s">
        <v>103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1" t="s">
        <v>726</v>
      </c>
      <c r="B11" s="61" t="s">
        <v>103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0" t="s">
        <v>727</v>
      </c>
      <c r="B12" s="61" t="s">
        <v>103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5" t="s">
        <v>728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</row>
    <row r="14" customFormat="false" ht="15" hidden="false" customHeight="false" outlineLevel="0" collapsed="false">
      <c r="A14" s="60" t="s">
        <v>475</v>
      </c>
      <c r="B14" s="61" t="s">
        <v>476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2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1" t="s">
        <v>477</v>
      </c>
      <c r="B15" s="61" t="s">
        <v>729</v>
      </c>
      <c r="C15" s="62" t="n">
        <f aca="false">INDEX(Spec_Rack!$C$25:$G$25,C$6)</f>
        <v>288</v>
      </c>
      <c r="D15" s="62" t="n">
        <f aca="false">INDEX(Spec_Rack!$C$25:$G$25,D$6)</f>
        <v>288</v>
      </c>
      <c r="E15" s="62" t="n">
        <f aca="false">INDEX(Spec_Rack!$C$25:$G$25,E$6)</f>
        <v>288</v>
      </c>
      <c r="F15" s="62" t="n">
        <f aca="false">INDEX(Spec_Rack!$C$25:$G$25,F$6)</f>
        <v>288</v>
      </c>
      <c r="G15" s="62" t="n">
        <f aca="false">INDEX(Spec_Rack!$C$25:$G$25,G$6)</f>
        <v>288</v>
      </c>
      <c r="H15" s="62" t="n">
        <f aca="false">INDEX(Spec_Rack!$C$25:$G$25,H$6)</f>
        <v>288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288</v>
      </c>
      <c r="P15" s="62" t="n">
        <f aca="false">INDEX(Spec_Rack!$C$25:$G$25,P$6)</f>
        <v>288</v>
      </c>
      <c r="Q15" s="62" t="n">
        <f aca="false">INDEX(Spec_Rack!$C$25:$G$25,Q$6)</f>
        <v>288</v>
      </c>
      <c r="R15" s="62" t="n">
        <f aca="false">INDEX(Spec_Rack!$C$25:$G$25,R$6)</f>
        <v>288</v>
      </c>
      <c r="S15" s="62" t="n">
        <f aca="false">INDEX(Spec_Rack!$C$25:$G$25,S$6)</f>
        <v>288</v>
      </c>
      <c r="T15" s="62" t="n">
        <f aca="false">INDEX(Spec_Rack!$C$25:$G$25,T$6)</f>
        <v>288</v>
      </c>
      <c r="U15" s="62" t="n">
        <f aca="false">INDEX(Spec_Rack!$C$25:$G$25,U$6)</f>
        <v>288</v>
      </c>
      <c r="V15" s="62" t="n">
        <f aca="false">INDEX(Spec_Rack!$C$25:$G$25,V$6)</f>
        <v>288</v>
      </c>
      <c r="W15" s="62" t="n">
        <f aca="false">INDEX(Spec_Rack!$C$25:$G$25,W$6)</f>
        <v>288</v>
      </c>
      <c r="X15" s="62" t="n">
        <f aca="false">INDEX(Spec_Rack!$C$25:$G$25,X$6)</f>
        <v>288</v>
      </c>
      <c r="Y15" s="62" t="n">
        <f aca="false">INDEX(Spec_Rack!$C$25:$G$25,Y$6)</f>
        <v>288</v>
      </c>
      <c r="Z15" s="62" t="n">
        <f aca="false">INDEX(Spec_Rack!$C$25:$G$25,Z$6)</f>
        <v>288</v>
      </c>
      <c r="AA15" s="62" t="n">
        <f aca="false">INDEX(Spec_Rack!$C$25:$G$25,AA$6)</f>
        <v>288</v>
      </c>
      <c r="AB15" s="62" t="n">
        <f aca="false">INDEX(Spec_Rack!$C$25:$G$25,AB$6)</f>
        <v>288</v>
      </c>
      <c r="AC15" s="62" t="n">
        <f aca="false">INDEX(Spec_Rack!$C$25:$G$25,AC$6)</f>
        <v>288</v>
      </c>
      <c r="AD15" s="62" t="n">
        <f aca="false">INDEX(Spec_Rack!$C$25:$G$25,AD$6)</f>
        <v>288</v>
      </c>
      <c r="AE15" s="62" t="n">
        <f aca="false">INDEX(Spec_Rack!$C$25:$G$25,AE$6)</f>
        <v>288</v>
      </c>
      <c r="AF15" s="62" t="n">
        <f aca="false">INDEX(Spec_Rack!$C$25:$G$25,AF$6)</f>
        <v>288</v>
      </c>
      <c r="AG15" s="62" t="n">
        <f aca="false">INDEX(Spec_Rack!$C$25:$G$25,AG$6)</f>
        <v>288</v>
      </c>
      <c r="AH15" s="62" t="n">
        <f aca="false">INDEX(Spec_Rack!$C$25:$G$25,AH$6)</f>
        <v>288</v>
      </c>
    </row>
    <row r="16" customFormat="false" ht="15" hidden="false" customHeight="false" outlineLevel="0" collapsed="false">
      <c r="A16" s="61" t="s">
        <v>478</v>
      </c>
      <c r="B16" s="61" t="s">
        <v>361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1" t="s">
        <v>730</v>
      </c>
      <c r="B17" s="61" t="s">
        <v>361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1" t="s">
        <v>232</v>
      </c>
      <c r="B18" s="61" t="s">
        <v>731</v>
      </c>
      <c r="C18" s="62" t="n">
        <f aca="false">INDEX(Spec_Rack!$C$29:$G$29,C$6)</f>
        <v>32</v>
      </c>
      <c r="D18" s="62" t="n">
        <f aca="false">INDEX(Spec_Rack!$C$29:$G$29,D$6)</f>
        <v>32</v>
      </c>
      <c r="E18" s="62" t="n">
        <f aca="false">INDEX(Spec_Rack!$C$29:$G$29,E$6)</f>
        <v>32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32</v>
      </c>
      <c r="P18" s="62" t="n">
        <f aca="false">INDEX(Spec_Rack!$C$29:$G$29,P$6)</f>
        <v>32</v>
      </c>
      <c r="Q18" s="62" t="n">
        <f aca="false">INDEX(Spec_Rack!$C$29:$G$29,Q$6)</f>
        <v>32</v>
      </c>
      <c r="R18" s="62" t="n">
        <f aca="false">INDEX(Spec_Rack!$C$29:$G$29,R$6)</f>
        <v>32</v>
      </c>
      <c r="S18" s="62" t="n">
        <f aca="false">INDEX(Spec_Rack!$C$29:$G$29,S$6)</f>
        <v>32</v>
      </c>
      <c r="T18" s="62" t="n">
        <f aca="false">INDEX(Spec_Rack!$C$29:$G$29,T$6)</f>
        <v>32</v>
      </c>
      <c r="U18" s="62" t="n">
        <f aca="false">INDEX(Spec_Rack!$C$29:$G$29,U$6)</f>
        <v>32</v>
      </c>
      <c r="V18" s="62" t="n">
        <f aca="false">INDEX(Spec_Rack!$C$29:$G$29,V$6)</f>
        <v>32</v>
      </c>
      <c r="W18" s="62" t="n">
        <f aca="false">INDEX(Spec_Rack!$C$29:$G$29,W$6)</f>
        <v>32</v>
      </c>
      <c r="X18" s="62" t="n">
        <f aca="false">INDEX(Spec_Rack!$C$29:$G$29,X$6)</f>
        <v>32</v>
      </c>
      <c r="Y18" s="62" t="n">
        <f aca="false">INDEX(Spec_Rack!$C$29:$G$29,Y$6)</f>
        <v>32</v>
      </c>
      <c r="Z18" s="62" t="n">
        <f aca="false">INDEX(Spec_Rack!$C$29:$G$29,Z$6)</f>
        <v>32</v>
      </c>
      <c r="AA18" s="62" t="n">
        <f aca="false">INDEX(Spec_Rack!$C$29:$G$29,AA$6)</f>
        <v>32</v>
      </c>
      <c r="AB18" s="62" t="n">
        <f aca="false">INDEX(Spec_Rack!$C$29:$G$29,AB$6)</f>
        <v>32</v>
      </c>
      <c r="AC18" s="62" t="n">
        <f aca="false">INDEX(Spec_Rack!$C$29:$G$29,AC$6)</f>
        <v>32</v>
      </c>
      <c r="AD18" s="62" t="n">
        <f aca="false">INDEX(Spec_Rack!$C$29:$G$29,AD$6)</f>
        <v>32</v>
      </c>
      <c r="AE18" s="62" t="n">
        <f aca="false">INDEX(Spec_Rack!$C$29:$G$29,AE$6)</f>
        <v>32</v>
      </c>
      <c r="AF18" s="62" t="n">
        <f aca="false">INDEX(Spec_Rack!$C$29:$G$29,AF$6)</f>
        <v>32</v>
      </c>
      <c r="AG18" s="62" t="n">
        <f aca="false">INDEX(Spec_Rack!$C$29:$G$29,AG$6)</f>
        <v>32</v>
      </c>
      <c r="AH18" s="62" t="n">
        <f aca="false">INDEX(Spec_Rack!$C$29:$G$29,AH$6)</f>
        <v>32</v>
      </c>
    </row>
    <row r="19" customFormat="false" ht="15" hidden="false" customHeight="false" outlineLevel="0" collapsed="false">
      <c r="A19" s="60" t="s">
        <v>732</v>
      </c>
      <c r="B19" s="61" t="s">
        <v>271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0" t="s">
        <v>733</v>
      </c>
      <c r="B20" s="61" t="s">
        <v>271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0" t="s">
        <v>734</v>
      </c>
      <c r="B21" s="61" t="s">
        <v>731</v>
      </c>
      <c r="C21" s="62" t="n">
        <f aca="false">INDEX(Spec_Rack!$C$32:$G$32,C$6)</f>
        <v>4</v>
      </c>
      <c r="D21" s="62" t="n">
        <f aca="false">INDEX(Spec_Rack!$C$32:$G$32,D$6)</f>
        <v>4</v>
      </c>
      <c r="E21" s="62" t="n">
        <f aca="false">INDEX(Spec_Rack!$C$32:$G$32,E$6)</f>
        <v>4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4</v>
      </c>
      <c r="P21" s="62" t="n">
        <f aca="false">INDEX(Spec_Rack!$C$32:$G$32,P$6)</f>
        <v>4</v>
      </c>
      <c r="Q21" s="62" t="n">
        <f aca="false">INDEX(Spec_Rack!$C$32:$G$32,Q$6)</f>
        <v>4</v>
      </c>
      <c r="R21" s="62" t="n">
        <f aca="false">INDEX(Spec_Rack!$C$32:$G$32,R$6)</f>
        <v>4</v>
      </c>
      <c r="S21" s="62" t="n">
        <f aca="false">INDEX(Spec_Rack!$C$32:$G$32,S$6)</f>
        <v>4</v>
      </c>
      <c r="T21" s="62" t="n">
        <f aca="false">INDEX(Spec_Rack!$C$32:$G$32,T$6)</f>
        <v>4</v>
      </c>
      <c r="U21" s="62" t="n">
        <f aca="false">INDEX(Spec_Rack!$C$32:$G$32,U$6)</f>
        <v>4</v>
      </c>
      <c r="V21" s="62" t="n">
        <f aca="false">INDEX(Spec_Rack!$C$32:$G$32,V$6)</f>
        <v>4</v>
      </c>
      <c r="W21" s="62" t="n">
        <f aca="false">INDEX(Spec_Rack!$C$32:$G$32,W$6)</f>
        <v>4</v>
      </c>
      <c r="X21" s="62" t="n">
        <f aca="false">INDEX(Spec_Rack!$C$32:$G$32,X$6)</f>
        <v>4</v>
      </c>
      <c r="Y21" s="62" t="n">
        <f aca="false">INDEX(Spec_Rack!$C$32:$G$32,Y$6)</f>
        <v>4</v>
      </c>
      <c r="Z21" s="62" t="n">
        <f aca="false">INDEX(Spec_Rack!$C$32:$G$32,Z$6)</f>
        <v>4</v>
      </c>
      <c r="AA21" s="62" t="n">
        <f aca="false">INDEX(Spec_Rack!$C$32:$G$32,AA$6)</f>
        <v>4</v>
      </c>
      <c r="AB21" s="62" t="n">
        <f aca="false">INDEX(Spec_Rack!$C$32:$G$32,AB$6)</f>
        <v>4</v>
      </c>
      <c r="AC21" s="62" t="n">
        <f aca="false">INDEX(Spec_Rack!$C$32:$G$32,AC$6)</f>
        <v>4</v>
      </c>
      <c r="AD21" s="62" t="n">
        <f aca="false">INDEX(Spec_Rack!$C$32:$G$32,AD$6)</f>
        <v>4</v>
      </c>
      <c r="AE21" s="62" t="n">
        <f aca="false">INDEX(Spec_Rack!$C$32:$G$32,AE$6)</f>
        <v>4</v>
      </c>
      <c r="AF21" s="62" t="n">
        <f aca="false">INDEX(Spec_Rack!$C$32:$G$32,AF$6)</f>
        <v>4</v>
      </c>
      <c r="AG21" s="62" t="n">
        <f aca="false">INDEX(Spec_Rack!$C$32:$G$32,AG$6)</f>
        <v>4</v>
      </c>
      <c r="AH21" s="62" t="n">
        <f aca="false">INDEX(Spec_Rack!$C$32:$G$32,AH$6)</f>
        <v>4</v>
      </c>
    </row>
    <row r="22" customFormat="false" ht="15" hidden="false" customHeight="false" outlineLevel="0" collapsed="false">
      <c r="A22" s="61" t="s">
        <v>184</v>
      </c>
      <c r="B22" s="60" t="s">
        <v>735</v>
      </c>
      <c r="C22" s="62" t="n">
        <f aca="false">INDEX(Spec_Rack!$C$6:$G$6,C$6)</f>
        <v>72</v>
      </c>
      <c r="D22" s="62" t="n">
        <f aca="false">INDEX(Spec_Rack!$C$6:$G$6,D$6)</f>
        <v>72</v>
      </c>
      <c r="E22" s="62" t="n">
        <f aca="false">INDEX(Spec_Rack!$C$6:$G$6,E$6)</f>
        <v>72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  <c r="R22" s="62" t="n">
        <f aca="false">INDEX(Spec_Rack!$C$6:$G$6,R$6)</f>
        <v>72</v>
      </c>
      <c r="S22" s="62" t="n">
        <f aca="false">INDEX(Spec_Rack!$C$6:$G$6,S$6)</f>
        <v>72</v>
      </c>
      <c r="T22" s="62" t="n">
        <f aca="false">INDEX(Spec_Rack!$C$6:$G$6,T$6)</f>
        <v>72</v>
      </c>
      <c r="U22" s="62" t="n">
        <f aca="false">INDEX(Spec_Rack!$C$6:$G$6,U$6)</f>
        <v>72</v>
      </c>
      <c r="V22" s="62" t="n">
        <f aca="false">INDEX(Spec_Rack!$C$6:$G$6,V$6)</f>
        <v>72</v>
      </c>
      <c r="W22" s="62" t="n">
        <f aca="false">INDEX(Spec_Rack!$C$6:$G$6,W$6)</f>
        <v>72</v>
      </c>
      <c r="X22" s="62" t="n">
        <f aca="false">INDEX(Spec_Rack!$C$6:$G$6,X$6)</f>
        <v>72</v>
      </c>
      <c r="Y22" s="62" t="n">
        <f aca="false">INDEX(Spec_Rack!$C$6:$G$6,Y$6)</f>
        <v>72</v>
      </c>
      <c r="Z22" s="62" t="n">
        <f aca="false">INDEX(Spec_Rack!$C$6:$G$6,Z$6)</f>
        <v>72</v>
      </c>
      <c r="AA22" s="62" t="n">
        <f aca="false">INDEX(Spec_Rack!$C$6:$G$6,AA$6)</f>
        <v>72</v>
      </c>
      <c r="AB22" s="62" t="n">
        <f aca="false">INDEX(Spec_Rack!$C$6:$G$6,AB$6)</f>
        <v>72</v>
      </c>
      <c r="AC22" s="62" t="n">
        <f aca="false">INDEX(Spec_Rack!$C$6:$G$6,AC$6)</f>
        <v>72</v>
      </c>
      <c r="AD22" s="62" t="n">
        <f aca="false">INDEX(Spec_Rack!$C$6:$G$6,AD$6)</f>
        <v>72</v>
      </c>
      <c r="AE22" s="62" t="n">
        <f aca="false">INDEX(Spec_Rack!$C$6:$G$6,AE$6)</f>
        <v>72</v>
      </c>
      <c r="AF22" s="62" t="n">
        <f aca="false">INDEX(Spec_Rack!$C$6:$G$6,AF$6)</f>
        <v>72</v>
      </c>
      <c r="AG22" s="62" t="n">
        <f aca="false">INDEX(Spec_Rack!$C$6:$G$6,AG$6)</f>
        <v>72</v>
      </c>
      <c r="AH22" s="62" t="n">
        <f aca="false">INDEX(Spec_Rack!$C$6:$G$6,AH$6)</f>
        <v>72</v>
      </c>
    </row>
    <row r="23" customFormat="false" ht="15" hidden="false" customHeight="false" outlineLevel="0" collapsed="false">
      <c r="A23" s="61" t="s">
        <v>736</v>
      </c>
      <c r="B23" s="61" t="s">
        <v>737</v>
      </c>
      <c r="C23" s="62" t="n">
        <f aca="false">INDEX(Spec_Rack!$C$33:$G$33,C$6)</f>
        <v>1800</v>
      </c>
      <c r="D23" s="62" t="n">
        <f aca="false">INDEX(Spec_Rack!$C$33:$G$33,D$6)</f>
        <v>1400</v>
      </c>
      <c r="E23" s="62" t="n">
        <f aca="false">INDEX(Spec_Rack!$C$33:$G$33,E$6)</f>
        <v>1800</v>
      </c>
      <c r="F23" s="62" t="n">
        <f aca="false">INDEX(Spec_Rack!$C$33:$G$33,F$6)</f>
        <v>1400</v>
      </c>
      <c r="G23" s="62" t="n">
        <f aca="false">INDEX(Spec_Rack!$C$33:$G$33,G$6)</f>
        <v>1800</v>
      </c>
      <c r="H23" s="62" t="n">
        <f aca="false">INDEX(Spec_Rack!$C$33:$G$33,H$6)</f>
        <v>1400</v>
      </c>
      <c r="I23" s="62" t="n">
        <f aca="false">INDEX(Spec_Rack!$C$33:$G$33,I$6)</f>
        <v>1800</v>
      </c>
      <c r="J23" s="62" t="n">
        <f aca="false">INDEX(Spec_Rack!$C$33:$G$33,J$6)</f>
        <v>1400</v>
      </c>
      <c r="K23" s="62" t="n">
        <f aca="false">INDEX(Spec_Rack!$C$33:$G$33,K$6)</f>
        <v>1800</v>
      </c>
      <c r="L23" s="62" t="n">
        <f aca="false">INDEX(Spec_Rack!$C$33:$G$33,L$6)</f>
        <v>1400</v>
      </c>
      <c r="M23" s="62" t="n">
        <f aca="false">INDEX(Spec_Rack!$C$33:$G$33,M$6)</f>
        <v>1800</v>
      </c>
      <c r="N23" s="62" t="n">
        <f aca="false">INDEX(Spec_Rack!$C$33:$G$33,N$6)</f>
        <v>1400</v>
      </c>
      <c r="O23" s="62" t="n">
        <f aca="false">INDEX(Spec_Rack!$C$33:$G$33,O$6)</f>
        <v>1800</v>
      </c>
      <c r="P23" s="62" t="n">
        <f aca="false">INDEX(Spec_Rack!$C$33:$G$33,P$6)</f>
        <v>1400</v>
      </c>
      <c r="Q23" s="62" t="n">
        <f aca="false">INDEX(Spec_Rack!$C$33:$G$33,Q$6)</f>
        <v>1800</v>
      </c>
      <c r="R23" s="62" t="n">
        <f aca="false">INDEX(Spec_Rack!$C$33:$G$33,R$6)</f>
        <v>1400</v>
      </c>
      <c r="S23" s="62" t="n">
        <f aca="false">INDEX(Spec_Rack!$C$33:$G$33,S$6)</f>
        <v>1800</v>
      </c>
      <c r="T23" s="62" t="n">
        <f aca="false">INDEX(Spec_Rack!$C$33:$G$33,T$6)</f>
        <v>1400</v>
      </c>
      <c r="U23" s="62" t="n">
        <f aca="false">INDEX(Spec_Rack!$C$33:$G$33,U$6)</f>
        <v>1800</v>
      </c>
      <c r="V23" s="62" t="n">
        <f aca="false">INDEX(Spec_Rack!$C$33:$G$33,V$6)</f>
        <v>1400</v>
      </c>
      <c r="W23" s="62" t="n">
        <f aca="false">INDEX(Spec_Rack!$C$33:$G$33,W$6)</f>
        <v>1800</v>
      </c>
      <c r="X23" s="62" t="n">
        <f aca="false">INDEX(Spec_Rack!$C$33:$G$33,X$6)</f>
        <v>1400</v>
      </c>
      <c r="Y23" s="62" t="n">
        <f aca="false">INDEX(Spec_Rack!$C$33:$G$33,Y$6)</f>
        <v>1800</v>
      </c>
      <c r="Z23" s="62" t="n">
        <f aca="false">INDEX(Spec_Rack!$C$33:$G$33,Z$6)</f>
        <v>1400</v>
      </c>
      <c r="AA23" s="62" t="n">
        <f aca="false">INDEX(Spec_Rack!$C$33:$G$33,AA$6)</f>
        <v>1800</v>
      </c>
      <c r="AB23" s="62" t="n">
        <f aca="false">INDEX(Spec_Rack!$C$33:$G$33,AB$6)</f>
        <v>1400</v>
      </c>
      <c r="AC23" s="62" t="n">
        <f aca="false">INDEX(Spec_Rack!$C$33:$G$33,AC$6)</f>
        <v>1800</v>
      </c>
      <c r="AD23" s="62" t="n">
        <f aca="false">INDEX(Spec_Rack!$C$33:$G$33,AD$6)</f>
        <v>1400</v>
      </c>
      <c r="AE23" s="62" t="n">
        <f aca="false">INDEX(Spec_Rack!$C$33:$G$33,AE$6)</f>
        <v>1800</v>
      </c>
      <c r="AF23" s="62" t="n">
        <f aca="false">INDEX(Spec_Rack!$C$33:$G$33,AF$6)</f>
        <v>1400</v>
      </c>
      <c r="AG23" s="62" t="n">
        <f aca="false">INDEX(Spec_Rack!$C$33:$G$33,AG$6)</f>
        <v>1800</v>
      </c>
      <c r="AH23" s="62" t="n">
        <f aca="false">INDEX(Spec_Rack!$C$33:$G$33,AH$6)</f>
        <v>1400</v>
      </c>
    </row>
    <row r="24" customFormat="false" ht="15" hidden="false" customHeight="false" outlineLevel="0" collapsed="false">
      <c r="A24" s="61" t="s">
        <v>738</v>
      </c>
      <c r="B24" s="61" t="s">
        <v>739</v>
      </c>
      <c r="C24" s="62" t="n">
        <f aca="false">INDEX(Spec_Rack!$C$34:$G$34,C$6)</f>
        <v>20</v>
      </c>
      <c r="D24" s="62" t="n">
        <f aca="false">INDEX(Spec_Rack!$C$34:$G$34,D$6)</f>
        <v>25</v>
      </c>
      <c r="E24" s="62" t="n">
        <f aca="false">INDEX(Spec_Rack!$C$34:$G$34,E$6)</f>
        <v>20</v>
      </c>
      <c r="F24" s="62" t="n">
        <f aca="false">INDEX(Spec_Rack!$C$34:$G$34,F$6)</f>
        <v>25</v>
      </c>
      <c r="G24" s="62" t="n">
        <f aca="false">INDEX(Spec_Rack!$C$34:$G$34,G$6)</f>
        <v>20</v>
      </c>
      <c r="H24" s="62" t="n">
        <f aca="false">INDEX(Spec_Rack!$C$34:$G$34,H$6)</f>
        <v>25</v>
      </c>
      <c r="I24" s="62" t="n">
        <f aca="false">INDEX(Spec_Rack!$C$34:$G$34,I$6)</f>
        <v>20</v>
      </c>
      <c r="J24" s="62" t="n">
        <f aca="false">INDEX(Spec_Rack!$C$34:$G$34,J$6)</f>
        <v>25</v>
      </c>
      <c r="K24" s="62" t="n">
        <f aca="false">INDEX(Spec_Rack!$C$34:$G$34,K$6)</f>
        <v>20</v>
      </c>
      <c r="L24" s="62" t="n">
        <f aca="false">INDEX(Spec_Rack!$C$34:$G$34,L$6)</f>
        <v>25</v>
      </c>
      <c r="M24" s="62" t="n">
        <f aca="false">INDEX(Spec_Rack!$C$34:$G$34,M$6)</f>
        <v>20</v>
      </c>
      <c r="N24" s="62" t="n">
        <f aca="false">INDEX(Spec_Rack!$C$34:$G$34,N$6)</f>
        <v>25</v>
      </c>
      <c r="O24" s="62" t="n">
        <f aca="false">INDEX(Spec_Rack!$C$34:$G$34,O$6)</f>
        <v>20</v>
      </c>
      <c r="P24" s="62" t="n">
        <f aca="false">INDEX(Spec_Rack!$C$34:$G$34,P$6)</f>
        <v>25</v>
      </c>
      <c r="Q24" s="62" t="n">
        <f aca="false">INDEX(Spec_Rack!$C$34:$G$34,Q$6)</f>
        <v>20</v>
      </c>
      <c r="R24" s="62" t="n">
        <f aca="false">INDEX(Spec_Rack!$C$34:$G$34,R$6)</f>
        <v>25</v>
      </c>
      <c r="S24" s="62" t="n">
        <f aca="false">INDEX(Spec_Rack!$C$34:$G$34,S$6)</f>
        <v>20</v>
      </c>
      <c r="T24" s="62" t="n">
        <f aca="false">INDEX(Spec_Rack!$C$34:$G$34,T$6)</f>
        <v>25</v>
      </c>
      <c r="U24" s="62" t="n">
        <f aca="false">INDEX(Spec_Rack!$C$34:$G$34,U$6)</f>
        <v>20</v>
      </c>
      <c r="V24" s="62" t="n">
        <f aca="false">INDEX(Spec_Rack!$C$34:$G$34,V$6)</f>
        <v>25</v>
      </c>
      <c r="W24" s="62" t="n">
        <f aca="false">INDEX(Spec_Rack!$C$34:$G$34,W$6)</f>
        <v>20</v>
      </c>
      <c r="X24" s="62" t="n">
        <f aca="false">INDEX(Spec_Rack!$C$34:$G$34,X$6)</f>
        <v>25</v>
      </c>
      <c r="Y24" s="62" t="n">
        <f aca="false">INDEX(Spec_Rack!$C$34:$G$34,Y$6)</f>
        <v>20</v>
      </c>
      <c r="Z24" s="62" t="n">
        <f aca="false">INDEX(Spec_Rack!$C$34:$G$34,Z$6)</f>
        <v>25</v>
      </c>
      <c r="AA24" s="62" t="n">
        <f aca="false">INDEX(Spec_Rack!$C$34:$G$34,AA$6)</f>
        <v>20</v>
      </c>
      <c r="AB24" s="62" t="n">
        <f aca="false">INDEX(Spec_Rack!$C$34:$G$34,AB$6)</f>
        <v>25</v>
      </c>
      <c r="AC24" s="62" t="n">
        <f aca="false">INDEX(Spec_Rack!$C$34:$G$34,AC$6)</f>
        <v>20</v>
      </c>
      <c r="AD24" s="62" t="n">
        <f aca="false">INDEX(Spec_Rack!$C$34:$G$34,AD$6)</f>
        <v>25</v>
      </c>
      <c r="AE24" s="62" t="n">
        <f aca="false">INDEX(Spec_Rack!$C$34:$G$34,AE$6)</f>
        <v>20</v>
      </c>
      <c r="AF24" s="62" t="n">
        <f aca="false">INDEX(Spec_Rack!$C$34:$G$34,AF$6)</f>
        <v>25</v>
      </c>
      <c r="AG24" s="62" t="n">
        <f aca="false">INDEX(Spec_Rack!$C$34:$G$34,AG$6)</f>
        <v>20</v>
      </c>
      <c r="AH24" s="62" t="n">
        <f aca="false">INDEX(Spec_Rack!$C$34:$G$34,AH$6)</f>
        <v>25</v>
      </c>
    </row>
    <row r="25" customFormat="false" ht="15" hidden="false" customHeight="false" outlineLevel="0" collapsed="false">
      <c r="A25" s="60" t="s">
        <v>740</v>
      </c>
      <c r="B25" s="60" t="s">
        <v>741</v>
      </c>
      <c r="C25" s="62" t="n">
        <f aca="false">INDEX(DC_Cost!$C$12:$Q$12,3*(C$6-1)+2)/CTL_GW</f>
        <v>4052</v>
      </c>
      <c r="D25" s="62" t="n">
        <f aca="false">INDEX(DC_Cost!$C$12:$Q$12,3*(D$6-1)+2)/CTL_GW</f>
        <v>6764</v>
      </c>
      <c r="E25" s="62" t="n">
        <f aca="false">INDEX(DC_Cost!$C$12:$Q$12,3*(E$6-1)+2)/CTL_GW</f>
        <v>4052</v>
      </c>
      <c r="F25" s="62" t="n">
        <f aca="false">INDEX(DC_Cost!$C$12:$Q$12,3*(F$6-1)+2)/CTL_GW</f>
        <v>6764</v>
      </c>
      <c r="G25" s="62" t="n">
        <f aca="false">INDEX(DC_Cost!$C$12:$Q$12,3*(G$6-1)+2)/CTL_GW</f>
        <v>4052</v>
      </c>
      <c r="H25" s="62" t="n">
        <f aca="false">INDEX(DC_Cost!$C$12:$Q$12,3*(H$6-1)+2)/CTL_GW</f>
        <v>6764</v>
      </c>
      <c r="I25" s="62" t="n">
        <f aca="false">INDEX(DC_Cost!$C$12:$Q$12,3*(I$6-1)+2)/CTL_GW</f>
        <v>4052</v>
      </c>
      <c r="J25" s="62" t="n">
        <f aca="false">INDEX(DC_Cost!$C$12:$Q$12,3*(J$6-1)+2)/CTL_GW</f>
        <v>6764</v>
      </c>
      <c r="K25" s="62" t="n">
        <f aca="false">INDEX(DC_Cost!$C$12:$Q$12,3*(K$6-1)+2)/CTL_GW</f>
        <v>4052</v>
      </c>
      <c r="L25" s="62" t="n">
        <f aca="false">INDEX(DC_Cost!$C$12:$Q$12,3*(L$6-1)+2)/CTL_GW</f>
        <v>6764</v>
      </c>
      <c r="M25" s="62" t="n">
        <f aca="false">INDEX(DC_Cost!$C$12:$Q$12,3*(M$6-1)+2)/CTL_GW</f>
        <v>4052</v>
      </c>
      <c r="N25" s="62" t="n">
        <f aca="false">INDEX(DC_Cost!$C$12:$Q$12,3*(N$6-1)+2)/CTL_GW</f>
        <v>6764</v>
      </c>
      <c r="O25" s="62" t="n">
        <f aca="false">INDEX(DC_Cost!$C$12:$Q$12,3*(O$6-1)+2)/CTL_GW</f>
        <v>4052</v>
      </c>
      <c r="P25" s="62" t="n">
        <f aca="false">INDEX(DC_Cost!$C$12:$Q$12,3*(P$6-1)+2)/CTL_GW</f>
        <v>6764</v>
      </c>
      <c r="Q25" s="62" t="n">
        <f aca="false">INDEX(DC_Cost!$C$12:$Q$12,3*(Q$6-1)+2)/CTL_GW</f>
        <v>4052</v>
      </c>
      <c r="R25" s="62" t="n">
        <f aca="false">INDEX(DC_Cost!$C$12:$Q$12,3*(R$6-1)+2)/CTL_GW</f>
        <v>6764</v>
      </c>
      <c r="S25" s="62" t="n">
        <f aca="false">INDEX(DC_Cost!$C$12:$Q$12,3*(S$6-1)+2)/CTL_GW</f>
        <v>4052</v>
      </c>
      <c r="T25" s="62" t="n">
        <f aca="false">INDEX(DC_Cost!$C$12:$Q$12,3*(T$6-1)+2)/CTL_GW</f>
        <v>6764</v>
      </c>
      <c r="U25" s="62" t="n">
        <f aca="false">INDEX(DC_Cost!$C$12:$Q$12,3*(U$6-1)+2)/CTL_GW</f>
        <v>4052</v>
      </c>
      <c r="V25" s="62" t="n">
        <f aca="false">INDEX(DC_Cost!$C$12:$Q$12,3*(V$6-1)+2)/CTL_GW</f>
        <v>6764</v>
      </c>
      <c r="W25" s="62" t="n">
        <f aca="false">INDEX(DC_Cost!$C$12:$Q$12,3*(W$6-1)+2)/CTL_GW</f>
        <v>4052</v>
      </c>
      <c r="X25" s="62" t="n">
        <f aca="false">INDEX(DC_Cost!$C$12:$Q$12,3*(X$6-1)+2)/CTL_GW</f>
        <v>6764</v>
      </c>
      <c r="Y25" s="62" t="n">
        <f aca="false">INDEX(DC_Cost!$C$12:$Q$12,3*(Y$6-1)+2)/CTL_GW</f>
        <v>4052</v>
      </c>
      <c r="Z25" s="62" t="n">
        <f aca="false">INDEX(DC_Cost!$C$12:$Q$12,3*(Z$6-1)+2)/CTL_GW</f>
        <v>6764</v>
      </c>
      <c r="AA25" s="62" t="n">
        <f aca="false">INDEX(DC_Cost!$C$12:$Q$12,3*(AA$6-1)+2)/CTL_GW</f>
        <v>4052</v>
      </c>
      <c r="AB25" s="62" t="n">
        <f aca="false">INDEX(DC_Cost!$C$12:$Q$12,3*(AB$6-1)+2)/CTL_GW</f>
        <v>6764</v>
      </c>
      <c r="AC25" s="62" t="n">
        <f aca="false">INDEX(DC_Cost!$C$12:$Q$12,3*(AC$6-1)+2)/CTL_GW</f>
        <v>4052</v>
      </c>
      <c r="AD25" s="62" t="n">
        <f aca="false">INDEX(DC_Cost!$C$12:$Q$12,3*(AD$6-1)+2)/CTL_GW</f>
        <v>6764</v>
      </c>
      <c r="AE25" s="62" t="n">
        <f aca="false">INDEX(DC_Cost!$C$12:$Q$12,3*(AE$6-1)+2)/CTL_GW</f>
        <v>4052</v>
      </c>
      <c r="AF25" s="62" t="n">
        <f aca="false">INDEX(DC_Cost!$C$12:$Q$12,3*(AF$6-1)+2)/CTL_GW</f>
        <v>6764</v>
      </c>
      <c r="AG25" s="62" t="n">
        <f aca="false">INDEX(DC_Cost!$C$12:$Q$12,3*(AG$6-1)+2)/CTL_GW</f>
        <v>4052</v>
      </c>
      <c r="AH25" s="62" t="n">
        <f aca="false">INDEX(DC_Cost!$C$12:$Q$12,3*(AH$6-1)+2)/CTL_GW</f>
        <v>6764</v>
      </c>
    </row>
    <row r="26" customFormat="false" ht="15" hidden="false" customHeight="false" outlineLevel="0" collapsed="false">
      <c r="A26" s="60" t="s">
        <v>742</v>
      </c>
      <c r="B26" s="61" t="s">
        <v>743</v>
      </c>
      <c r="C26" s="62" t="n">
        <f aca="false">INDEX(DC_Cost!$C$11:$Q$11,3*(C$6-1)+2)</f>
        <v>227</v>
      </c>
      <c r="D26" s="62" t="n">
        <f aca="false">INDEX(DC_Cost!$C$11:$Q$11,3*(D$6-1)+2)</f>
        <v>136</v>
      </c>
      <c r="E26" s="62" t="n">
        <f aca="false">INDEX(DC_Cost!$C$11:$Q$11,3*(E$6-1)+2)</f>
        <v>227</v>
      </c>
      <c r="F26" s="62" t="n">
        <f aca="false">INDEX(DC_Cost!$C$11:$Q$11,3*(F$6-1)+2)</f>
        <v>136</v>
      </c>
      <c r="G26" s="62" t="n">
        <f aca="false">INDEX(DC_Cost!$C$11:$Q$11,3*(G$6-1)+2)</f>
        <v>227</v>
      </c>
      <c r="H26" s="62" t="n">
        <f aca="false">INDEX(DC_Cost!$C$11:$Q$11,3*(H$6-1)+2)</f>
        <v>136</v>
      </c>
      <c r="I26" s="62" t="n">
        <f aca="false">INDEX(DC_Cost!$C$11:$Q$11,3*(I$6-1)+2)</f>
        <v>227</v>
      </c>
      <c r="J26" s="62" t="n">
        <f aca="false">INDEX(DC_Cost!$C$11:$Q$11,3*(J$6-1)+2)</f>
        <v>136</v>
      </c>
      <c r="K26" s="62" t="n">
        <f aca="false">INDEX(DC_Cost!$C$11:$Q$11,3*(K$6-1)+2)</f>
        <v>227</v>
      </c>
      <c r="L26" s="62" t="n">
        <f aca="false">INDEX(DC_Cost!$C$11:$Q$11,3*(L$6-1)+2)</f>
        <v>136</v>
      </c>
      <c r="M26" s="62" t="n">
        <f aca="false">INDEX(DC_Cost!$C$11:$Q$11,3*(M$6-1)+2)</f>
        <v>227</v>
      </c>
      <c r="N26" s="62" t="n">
        <f aca="false">INDEX(DC_Cost!$C$11:$Q$11,3*(N$6-1)+2)</f>
        <v>136</v>
      </c>
      <c r="O26" s="62" t="n">
        <f aca="false">INDEX(DC_Cost!$C$11:$Q$11,3*(O$6-1)+2)</f>
        <v>227</v>
      </c>
      <c r="P26" s="62" t="n">
        <f aca="false">INDEX(DC_Cost!$C$11:$Q$11,3*(P$6-1)+2)</f>
        <v>136</v>
      </c>
      <c r="Q26" s="62" t="n">
        <f aca="false">INDEX(DC_Cost!$C$11:$Q$11,3*(Q$6-1)+2)</f>
        <v>227</v>
      </c>
      <c r="R26" s="62" t="n">
        <f aca="false">INDEX(DC_Cost!$C$11:$Q$11,3*(R$6-1)+2)</f>
        <v>136</v>
      </c>
      <c r="S26" s="62" t="n">
        <f aca="false">INDEX(DC_Cost!$C$11:$Q$11,3*(S$6-1)+2)</f>
        <v>227</v>
      </c>
      <c r="T26" s="62" t="n">
        <f aca="false">INDEX(DC_Cost!$C$11:$Q$11,3*(T$6-1)+2)</f>
        <v>136</v>
      </c>
      <c r="U26" s="62" t="n">
        <f aca="false">INDEX(DC_Cost!$C$11:$Q$11,3*(U$6-1)+2)</f>
        <v>227</v>
      </c>
      <c r="V26" s="62" t="n">
        <f aca="false">INDEX(DC_Cost!$C$11:$Q$11,3*(V$6-1)+2)</f>
        <v>136</v>
      </c>
      <c r="W26" s="62" t="n">
        <f aca="false">INDEX(DC_Cost!$C$11:$Q$11,3*(W$6-1)+2)</f>
        <v>227</v>
      </c>
      <c r="X26" s="62" t="n">
        <f aca="false">INDEX(DC_Cost!$C$11:$Q$11,3*(X$6-1)+2)</f>
        <v>136</v>
      </c>
      <c r="Y26" s="62" t="n">
        <f aca="false">INDEX(DC_Cost!$C$11:$Q$11,3*(Y$6-1)+2)</f>
        <v>227</v>
      </c>
      <c r="Z26" s="62" t="n">
        <f aca="false">INDEX(DC_Cost!$C$11:$Q$11,3*(Z$6-1)+2)</f>
        <v>136</v>
      </c>
      <c r="AA26" s="62" t="n">
        <f aca="false">INDEX(DC_Cost!$C$11:$Q$11,3*(AA$6-1)+2)</f>
        <v>227</v>
      </c>
      <c r="AB26" s="62" t="n">
        <f aca="false">INDEX(DC_Cost!$C$11:$Q$11,3*(AB$6-1)+2)</f>
        <v>136</v>
      </c>
      <c r="AC26" s="62" t="n">
        <f aca="false">INDEX(DC_Cost!$C$11:$Q$11,3*(AC$6-1)+2)</f>
        <v>227</v>
      </c>
      <c r="AD26" s="62" t="n">
        <f aca="false">INDEX(DC_Cost!$C$11:$Q$11,3*(AD$6-1)+2)</f>
        <v>136</v>
      </c>
      <c r="AE26" s="62" t="n">
        <f aca="false">INDEX(DC_Cost!$C$11:$Q$11,3*(AE$6-1)+2)</f>
        <v>227</v>
      </c>
      <c r="AF26" s="62" t="n">
        <f aca="false">INDEX(DC_Cost!$C$11:$Q$11,3*(AF$6-1)+2)</f>
        <v>136</v>
      </c>
      <c r="AG26" s="62" t="n">
        <f aca="false">INDEX(DC_Cost!$C$11:$Q$11,3*(AG$6-1)+2)</f>
        <v>227</v>
      </c>
      <c r="AH26" s="62" t="n">
        <f aca="false">INDEX(DC_Cost!$C$11:$Q$11,3*(AH$6-1)+2)</f>
        <v>136</v>
      </c>
    </row>
    <row r="27" customFormat="false" ht="15" hidden="false" customHeight="false" outlineLevel="0" collapsed="false">
      <c r="A27" s="75" t="s">
        <v>744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</row>
    <row r="28" customFormat="false" ht="15" hidden="false" customHeight="false" outlineLevel="0" collapsed="false">
      <c r="A28" s="60" t="s">
        <v>274</v>
      </c>
      <c r="B28" s="61" t="s">
        <v>271</v>
      </c>
      <c r="C28" s="62" t="n">
        <f aca="false">INDEX(Arch!$C$7:$E$7,C$7)*INDEX(ARCH_ScaleGen,1,C$6)</f>
        <v>49</v>
      </c>
      <c r="D28" s="62" t="n">
        <f aca="false">INDEX(Arch!$C$7:$E$7,D$7)*INDEX(ARCH_ScaleGen,1,D$6)</f>
        <v>49</v>
      </c>
      <c r="E28" s="62" t="n">
        <f aca="false">INDEX(Arch!$C$7:$E$7,E$7)*INDEX(ARCH_ScaleGen,1,E$6)</f>
        <v>49</v>
      </c>
      <c r="F28" s="62" t="n">
        <f aca="false">INDEX(Arch!$C$7:$E$7,F$7)*INDEX(ARCH_ScaleGen,1,F$6)</f>
        <v>49</v>
      </c>
      <c r="G28" s="62" t="n">
        <f aca="false">INDEX(Arch!$C$7:$E$7,G$7)*INDEX(ARCH_ScaleGen,1,G$6)</f>
        <v>49</v>
      </c>
      <c r="H28" s="62" t="n">
        <f aca="false">INDEX(Arch!$C$7:$E$7,H$7)*INDEX(ARCH_ScaleGen,1,H$6)</f>
        <v>49</v>
      </c>
      <c r="I28" s="62" t="n">
        <f aca="false">INDEX(Arch!$C$7:$E$7,I$7)*INDEX(ARCH_ScaleGen,1,I$6)</f>
        <v>49</v>
      </c>
      <c r="J28" s="62" t="n">
        <f aca="false">INDEX(Arch!$C$7:$E$7,J$7)*INDEX(ARCH_ScaleGen,1,J$6)</f>
        <v>49</v>
      </c>
      <c r="K28" s="62" t="n">
        <f aca="false">INDEX(Arch!$C$7:$E$7,K$7)*INDEX(ARCH_ScaleGen,1,K$6)</f>
        <v>49</v>
      </c>
      <c r="L28" s="62" t="n">
        <f aca="false">INDEX(Arch!$C$7:$E$7,L$7)*INDEX(ARCH_ScaleGen,1,L$6)</f>
        <v>49</v>
      </c>
      <c r="M28" s="62" t="n">
        <f aca="false">INDEX(Arch!$C$7:$E$7,M$7)*INDEX(ARCH_ScaleGen,1,M$6)</f>
        <v>49</v>
      </c>
      <c r="N28" s="62" t="n">
        <f aca="false">INDEX(Arch!$C$7:$E$7,N$7)*INDEX(ARCH_ScaleGen,1,N$6)</f>
        <v>49</v>
      </c>
      <c r="O28" s="62" t="n">
        <f aca="false">INDEX(Arch!$C$7:$E$7,O$7)*INDEX(ARCH_ScaleGen,1,O$6)</f>
        <v>49</v>
      </c>
      <c r="P28" s="62" t="n">
        <f aca="false">INDEX(Arch!$C$7:$E$7,P$7)*INDEX(ARCH_ScaleGen,1,P$6)</f>
        <v>49</v>
      </c>
      <c r="Q28" s="62" t="n">
        <f aca="false">INDEX(Arch!$C$7:$E$7,Q$7)*INDEX(ARCH_ScaleGen,1,Q$6)</f>
        <v>49</v>
      </c>
      <c r="R28" s="62" t="n">
        <f aca="false">INDEX(Arch!$C$7:$E$7,R$7)*INDEX(ARCH_ScaleGen,1,R$6)</f>
        <v>49</v>
      </c>
      <c r="S28" s="62" t="n">
        <f aca="false">INDEX(Arch!$C$7:$E$7,S$7)*INDEX(ARCH_ScaleGen,1,S$6)</f>
        <v>49</v>
      </c>
      <c r="T28" s="62" t="n">
        <f aca="false">INDEX(Arch!$C$7:$E$7,T$7)*INDEX(ARCH_ScaleGen,1,T$6)</f>
        <v>49</v>
      </c>
      <c r="U28" s="62" t="n">
        <f aca="false">INDEX(Arch!$C$7:$E$7,U$7)*INDEX(ARCH_ScaleGen,1,U$6)</f>
        <v>49</v>
      </c>
      <c r="V28" s="62" t="n">
        <f aca="false">INDEX(Arch!$C$7:$E$7,V$7)*INDEX(ARCH_ScaleGen,1,V$6)</f>
        <v>49</v>
      </c>
      <c r="W28" s="62" t="n">
        <f aca="false">INDEX(Arch!$C$7:$E$7,W$7)*INDEX(ARCH_ScaleGen,1,W$6)</f>
        <v>49</v>
      </c>
      <c r="X28" s="62" t="n">
        <f aca="false">INDEX(Arch!$C$7:$E$7,X$7)*INDEX(ARCH_ScaleGen,1,X$6)</f>
        <v>49</v>
      </c>
      <c r="Y28" s="62" t="n">
        <f aca="false">INDEX(Arch!$C$7:$E$7,Y$7)*INDEX(ARCH_ScaleGen,1,Y$6)</f>
        <v>49</v>
      </c>
      <c r="Z28" s="62" t="n">
        <f aca="false">INDEX(Arch!$C$7:$E$7,Z$7)*INDEX(ARCH_ScaleGen,1,Z$6)</f>
        <v>49</v>
      </c>
      <c r="AA28" s="62" t="n">
        <f aca="false">INDEX(Arch!$C$7:$E$7,AA$7)*INDEX(ARCH_ScaleGen,1,AA$6)</f>
        <v>49</v>
      </c>
      <c r="AB28" s="62" t="n">
        <f aca="false">INDEX(Arch!$C$7:$E$7,AB$7)*INDEX(ARCH_ScaleGen,1,AB$6)</f>
        <v>49</v>
      </c>
      <c r="AC28" s="62" t="n">
        <f aca="false">INDEX(Arch!$C$7:$E$7,AC$7)*INDEX(ARCH_ScaleGen,1,AC$6)</f>
        <v>180</v>
      </c>
      <c r="AD28" s="62" t="n">
        <f aca="false">INDEX(Arch!$C$7:$E$7,AD$7)*INDEX(ARCH_ScaleGen,1,AD$6)</f>
        <v>180</v>
      </c>
      <c r="AE28" s="62" t="n">
        <f aca="false">INDEX(Arch!$C$7:$E$7,AE$7)*INDEX(ARCH_ScaleGen,1,AE$6)</f>
        <v>180</v>
      </c>
      <c r="AF28" s="62" t="n">
        <f aca="false">INDEX(Arch!$C$7:$E$7,AF$7)*INDEX(ARCH_ScaleGen,1,AF$6)</f>
        <v>180</v>
      </c>
      <c r="AG28" s="62" t="n">
        <f aca="false">INDEX(Arch!$C$7:$E$7,AG$7)*INDEX(ARCH_ScaleGen,1,AG$6)</f>
        <v>180</v>
      </c>
      <c r="AH28" s="62" t="n">
        <f aca="false">INDEX(Arch!$C$7:$E$7,AH$7)*INDEX(ARCH_ScaleGen,1,AH$6)</f>
        <v>180</v>
      </c>
    </row>
    <row r="29" customFormat="false" ht="15" hidden="false" customHeight="false" outlineLevel="0" collapsed="false">
      <c r="A29" s="60" t="s">
        <v>276</v>
      </c>
      <c r="B29" s="60" t="s">
        <v>277</v>
      </c>
      <c r="C29" s="62" t="n">
        <f aca="false">INDEX(Arch!$C$8:$E$8,C$7)</f>
        <v>61</v>
      </c>
      <c r="D29" s="62" t="n">
        <f aca="false">INDEX(Arch!$C$8:$E$8,D$7)</f>
        <v>61</v>
      </c>
      <c r="E29" s="62" t="n">
        <f aca="false">INDEX(Arch!$C$8:$E$8,E$7)</f>
        <v>61</v>
      </c>
      <c r="F29" s="62" t="n">
        <f aca="false">INDEX(Arch!$C$8:$E$8,F$7)</f>
        <v>61</v>
      </c>
      <c r="G29" s="62" t="n">
        <f aca="false">INDEX(Arch!$C$8:$E$8,G$7)</f>
        <v>61</v>
      </c>
      <c r="H29" s="62" t="n">
        <f aca="false">INDEX(Arch!$C$8:$E$8,H$7)</f>
        <v>61</v>
      </c>
      <c r="I29" s="62" t="n">
        <f aca="false">INDEX(Arch!$C$8:$E$8,I$7)</f>
        <v>61</v>
      </c>
      <c r="J29" s="62" t="n">
        <f aca="false">INDEX(Arch!$C$8:$E$8,J$7)</f>
        <v>61</v>
      </c>
      <c r="K29" s="62" t="n">
        <f aca="false">INDEX(Arch!$C$8:$E$8,K$7)</f>
        <v>61</v>
      </c>
      <c r="L29" s="62" t="n">
        <f aca="false">INDEX(Arch!$C$8:$E$8,L$7)</f>
        <v>61</v>
      </c>
      <c r="M29" s="62" t="n">
        <f aca="false">INDEX(Arch!$C$8:$E$8,M$7)</f>
        <v>61</v>
      </c>
      <c r="N29" s="62" t="n">
        <f aca="false">INDEX(Arch!$C$8:$E$8,N$7)</f>
        <v>61</v>
      </c>
      <c r="O29" s="62" t="n">
        <f aca="false">INDEX(Arch!$C$8:$E$8,O$7)</f>
        <v>61</v>
      </c>
      <c r="P29" s="62" t="n">
        <f aca="false">INDEX(Arch!$C$8:$E$8,P$7)</f>
        <v>61</v>
      </c>
      <c r="Q29" s="62" t="n">
        <f aca="false">INDEX(Arch!$C$8:$E$8,Q$7)</f>
        <v>61</v>
      </c>
      <c r="R29" s="62" t="n">
        <f aca="false">INDEX(Arch!$C$8:$E$8,R$7)</f>
        <v>61</v>
      </c>
      <c r="S29" s="62" t="n">
        <f aca="false">INDEX(Arch!$C$8:$E$8,S$7)</f>
        <v>61</v>
      </c>
      <c r="T29" s="62" t="n">
        <f aca="false">INDEX(Arch!$C$8:$E$8,T$7)</f>
        <v>61</v>
      </c>
      <c r="U29" s="62" t="n">
        <f aca="false">INDEX(Arch!$C$8:$E$8,U$7)</f>
        <v>61</v>
      </c>
      <c r="V29" s="62" t="n">
        <f aca="false">INDEX(Arch!$C$8:$E$8,V$7)</f>
        <v>61</v>
      </c>
      <c r="W29" s="62" t="n">
        <f aca="false">INDEX(Arch!$C$8:$E$8,W$7)</f>
        <v>61</v>
      </c>
      <c r="X29" s="62" t="n">
        <f aca="false">INDEX(Arch!$C$8:$E$8,X$7)</f>
        <v>61</v>
      </c>
      <c r="Y29" s="62" t="n">
        <f aca="false">INDEX(Arch!$C$8:$E$8,Y$7)</f>
        <v>61</v>
      </c>
      <c r="Z29" s="62" t="n">
        <f aca="false">INDEX(Arch!$C$8:$E$8,Z$7)</f>
        <v>61</v>
      </c>
      <c r="AA29" s="62" t="n">
        <f aca="false">INDEX(Arch!$C$8:$E$8,AA$7)</f>
        <v>61</v>
      </c>
      <c r="AB29" s="62" t="n">
        <f aca="false">INDEX(Arch!$C$8:$E$8,AB$7)</f>
        <v>61</v>
      </c>
      <c r="AC29" s="62" t="n">
        <f aca="false">INDEX(Arch!$C$8:$E$8,AC$7)</f>
        <v>100</v>
      </c>
      <c r="AD29" s="62" t="n">
        <f aca="false">INDEX(Arch!$C$8:$E$8,AD$7)</f>
        <v>100</v>
      </c>
      <c r="AE29" s="62" t="n">
        <f aca="false">INDEX(Arch!$C$8:$E$8,AE$7)</f>
        <v>100</v>
      </c>
      <c r="AF29" s="62" t="n">
        <f aca="false">INDEX(Arch!$C$8:$E$8,AF$7)</f>
        <v>100</v>
      </c>
      <c r="AG29" s="62" t="n">
        <f aca="false">INDEX(Arch!$C$8:$E$8,AG$7)</f>
        <v>100</v>
      </c>
      <c r="AH29" s="62" t="n">
        <f aca="false">INDEX(Arch!$C$8:$E$8,AH$7)</f>
        <v>100</v>
      </c>
    </row>
    <row r="30" customFormat="false" ht="15" hidden="false" customHeight="false" outlineLevel="0" collapsed="false">
      <c r="A30" s="61" t="s">
        <v>279</v>
      </c>
      <c r="B30" s="60"/>
      <c r="C30" s="62" t="n">
        <f aca="false">INDEX(Arch!$C$9:$E$9,C$7)</f>
        <v>7168</v>
      </c>
      <c r="D30" s="62" t="n">
        <f aca="false">INDEX(Arch!$C$9:$E$9,D$7)</f>
        <v>7168</v>
      </c>
      <c r="E30" s="62" t="n">
        <f aca="false">INDEX(Arch!$C$9:$E$9,E$7)</f>
        <v>7168</v>
      </c>
      <c r="F30" s="62" t="n">
        <f aca="false">INDEX(Arch!$C$9:$E$9,F$7)</f>
        <v>7168</v>
      </c>
      <c r="G30" s="62" t="n">
        <f aca="false">INDEX(Arch!$C$9:$E$9,G$7)</f>
        <v>7168</v>
      </c>
      <c r="H30" s="62" t="n">
        <f aca="false">INDEX(Arch!$C$9:$E$9,H$7)</f>
        <v>7168</v>
      </c>
      <c r="I30" s="62" t="n">
        <f aca="false">INDEX(Arch!$C$9:$E$9,I$7)</f>
        <v>7168</v>
      </c>
      <c r="J30" s="62" t="n">
        <f aca="false">INDEX(Arch!$C$9:$E$9,J$7)</f>
        <v>7168</v>
      </c>
      <c r="K30" s="62" t="n">
        <f aca="false">INDEX(Arch!$C$9:$E$9,K$7)</f>
        <v>7168</v>
      </c>
      <c r="L30" s="62" t="n">
        <f aca="false">INDEX(Arch!$C$9:$E$9,L$7)</f>
        <v>7168</v>
      </c>
      <c r="M30" s="62" t="n">
        <f aca="false">INDEX(Arch!$C$9:$E$9,M$7)</f>
        <v>7168</v>
      </c>
      <c r="N30" s="62" t="n">
        <f aca="false">INDEX(Arch!$C$9:$E$9,N$7)</f>
        <v>7168</v>
      </c>
      <c r="O30" s="62" t="n">
        <f aca="false">INDEX(Arch!$C$9:$E$9,O$7)</f>
        <v>7168</v>
      </c>
      <c r="P30" s="62" t="n">
        <f aca="false">INDEX(Arch!$C$9:$E$9,P$7)</f>
        <v>7168</v>
      </c>
      <c r="Q30" s="62" t="n">
        <f aca="false">INDEX(Arch!$C$9:$E$9,Q$7)</f>
        <v>7168</v>
      </c>
      <c r="R30" s="62" t="n">
        <f aca="false">INDEX(Arch!$C$9:$E$9,R$7)</f>
        <v>7168</v>
      </c>
      <c r="S30" s="62" t="n">
        <f aca="false">INDEX(Arch!$C$9:$E$9,S$7)</f>
        <v>7168</v>
      </c>
      <c r="T30" s="62" t="n">
        <f aca="false">INDEX(Arch!$C$9:$E$9,T$7)</f>
        <v>7168</v>
      </c>
      <c r="U30" s="62" t="n">
        <f aca="false">INDEX(Arch!$C$9:$E$9,U$7)</f>
        <v>7168</v>
      </c>
      <c r="V30" s="62" t="n">
        <f aca="false">INDEX(Arch!$C$9:$E$9,V$7)</f>
        <v>7168</v>
      </c>
      <c r="W30" s="62" t="n">
        <f aca="false">INDEX(Arch!$C$9:$E$9,W$7)</f>
        <v>7168</v>
      </c>
      <c r="X30" s="62" t="n">
        <f aca="false">INDEX(Arch!$C$9:$E$9,X$7)</f>
        <v>7168</v>
      </c>
      <c r="Y30" s="62" t="n">
        <f aca="false">INDEX(Arch!$C$9:$E$9,Y$7)</f>
        <v>7168</v>
      </c>
      <c r="Z30" s="62" t="n">
        <f aca="false">INDEX(Arch!$C$9:$E$9,Z$7)</f>
        <v>7168</v>
      </c>
      <c r="AA30" s="62" t="n">
        <f aca="false">INDEX(Arch!$C$9:$E$9,AA$7)</f>
        <v>7168</v>
      </c>
      <c r="AB30" s="62" t="n">
        <f aca="false">INDEX(Arch!$C$9:$E$9,AB$7)</f>
        <v>7168</v>
      </c>
      <c r="AC30" s="62" t="n">
        <f aca="false">INDEX(Arch!$C$9:$E$9,AC$7)</f>
        <v>12288</v>
      </c>
      <c r="AD30" s="62" t="n">
        <f aca="false">INDEX(Arch!$C$9:$E$9,AD$7)</f>
        <v>12288</v>
      </c>
      <c r="AE30" s="62" t="n">
        <f aca="false">INDEX(Arch!$C$9:$E$9,AE$7)</f>
        <v>12288</v>
      </c>
      <c r="AF30" s="62" t="n">
        <f aca="false">INDEX(Arch!$C$9:$E$9,AF$7)</f>
        <v>12288</v>
      </c>
      <c r="AG30" s="62" t="n">
        <f aca="false">INDEX(Arch!$C$9:$E$9,AG$7)</f>
        <v>12288</v>
      </c>
      <c r="AH30" s="62" t="n">
        <f aca="false">INDEX(Arch!$C$9:$E$9,AH$7)</f>
        <v>12288</v>
      </c>
    </row>
    <row r="31" customFormat="false" ht="15" hidden="false" customHeight="false" outlineLevel="0" collapsed="false">
      <c r="A31" s="60" t="s">
        <v>745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6</v>
      </c>
      <c r="R31" s="62" t="n">
        <f aca="false">INDEX(Arch!$C$13:$E$13,R$7)</f>
        <v>6</v>
      </c>
      <c r="S31" s="62" t="n">
        <f aca="false">INDEX(Arch!$C$13:$E$13,S$7)</f>
        <v>6</v>
      </c>
      <c r="T31" s="62" t="n">
        <f aca="false">INDEX(Arch!$C$13:$E$13,T$7)</f>
        <v>6</v>
      </c>
      <c r="U31" s="62" t="n">
        <f aca="false">INDEX(Arch!$C$13:$E$13,U$7)</f>
        <v>6</v>
      </c>
      <c r="V31" s="62" t="n">
        <f aca="false">INDEX(Arch!$C$13:$E$13,V$7)</f>
        <v>6</v>
      </c>
      <c r="W31" s="62" t="n">
        <f aca="false">INDEX(Arch!$C$13:$E$13,W$7)</f>
        <v>6</v>
      </c>
      <c r="X31" s="62" t="n">
        <f aca="false">INDEX(Arch!$C$13:$E$13,X$7)</f>
        <v>6</v>
      </c>
      <c r="Y31" s="62" t="n">
        <f aca="false">INDEX(Arch!$C$13:$E$13,Y$7)</f>
        <v>6</v>
      </c>
      <c r="Z31" s="62" t="n">
        <f aca="false">INDEX(Arch!$C$13:$E$13,Z$7)</f>
        <v>6</v>
      </c>
      <c r="AA31" s="62" t="n">
        <f aca="false">INDEX(Arch!$C$13:$E$13,AA$7)</f>
        <v>6</v>
      </c>
      <c r="AB31" s="62" t="n">
        <f aca="false">INDEX(Arch!$C$13:$E$13,AB$7)</f>
        <v>6</v>
      </c>
      <c r="AC31" s="62" t="n">
        <f aca="false">INDEX(Arch!$C$13:$E$13,AC$7)</f>
        <v>16</v>
      </c>
      <c r="AD31" s="62" t="n">
        <f aca="false">INDEX(Arch!$C$13:$E$13,AD$7)</f>
        <v>16</v>
      </c>
      <c r="AE31" s="62" t="n">
        <f aca="false">INDEX(Arch!$C$13:$E$13,AE$7)</f>
        <v>16</v>
      </c>
      <c r="AF31" s="62" t="n">
        <f aca="false">INDEX(Arch!$C$13:$E$13,AF$7)</f>
        <v>16</v>
      </c>
      <c r="AG31" s="62" t="n">
        <f aca="false">INDEX(Arch!$C$13:$E$13,AG$7)</f>
        <v>16</v>
      </c>
      <c r="AH31" s="62" t="n">
        <f aca="false">INDEX(Arch!$C$13:$E$13,AH$7)</f>
        <v>16</v>
      </c>
    </row>
    <row r="32" customFormat="false" ht="15" hidden="false" customHeight="false" outlineLevel="0" collapsed="false">
      <c r="A32" s="60" t="s">
        <v>485</v>
      </c>
      <c r="B32" s="61" t="s">
        <v>271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0" t="s">
        <v>312</v>
      </c>
      <c r="B33" s="61" t="s">
        <v>271</v>
      </c>
      <c r="C33" s="62" t="n">
        <f aca="false">INDEX(Arch!$C$29:$E$29,C$7)*INDEX(ARCH_ScaleGen,1,C$6)</f>
        <v>1579.72222222222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1579.72222222222</v>
      </c>
      <c r="F33" s="62" t="n">
        <f aca="false">INDEX(Arch!$C$29:$E$29,F$7)*INDEX(ARCH_ScaleGen,1,F$6)</f>
        <v>1579.72222222222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1579.72222222222</v>
      </c>
      <c r="I33" s="62" t="n">
        <f aca="false">INDEX(Arch!$C$29:$E$29,I$7)*INDEX(ARCH_ScaleGen,1,I$6)</f>
        <v>1579.72222222222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1579.72222222222</v>
      </c>
      <c r="L33" s="62" t="n">
        <f aca="false">INDEX(Arch!$C$29:$E$29,L$7)*INDEX(ARCH_ScaleGen,1,L$6)</f>
        <v>1579.72222222222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1579.72222222222</v>
      </c>
      <c r="O33" s="62" t="n">
        <f aca="false">INDEX(Arch!$C$29:$E$29,O$7)*INDEX(ARCH_ScaleGen,1,O$6)</f>
        <v>1579.72222222222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1579.72222222222</v>
      </c>
      <c r="R33" s="62" t="n">
        <f aca="false">INDEX(Arch!$C$29:$E$29,R$7)*INDEX(ARCH_ScaleGen,1,R$6)</f>
        <v>1579.72222222222</v>
      </c>
      <c r="S33" s="62" t="n">
        <f aca="false">INDEX(Arch!$C$29:$E$29,S$7)*INDEX(ARCH_ScaleGen,1,S$6)</f>
        <v>1579.72222222222</v>
      </c>
      <c r="T33" s="62" t="n">
        <f aca="false">INDEX(Arch!$C$29:$E$29,T$7)*INDEX(ARCH_ScaleGen,1,T$6)</f>
        <v>1579.72222222222</v>
      </c>
      <c r="U33" s="62" t="n">
        <f aca="false">INDEX(Arch!$C$29:$E$29,U$7)*INDEX(ARCH_ScaleGen,1,U$6)</f>
        <v>1579.72222222222</v>
      </c>
      <c r="V33" s="62" t="n">
        <f aca="false">INDEX(Arch!$C$29:$E$29,V$7)*INDEX(ARCH_ScaleGen,1,V$6)</f>
        <v>1579.72222222222</v>
      </c>
      <c r="W33" s="62" t="n">
        <f aca="false">INDEX(Arch!$C$29:$E$29,W$7)*INDEX(ARCH_ScaleGen,1,W$6)</f>
        <v>1579.72222222222</v>
      </c>
      <c r="X33" s="62" t="n">
        <f aca="false">INDEX(Arch!$C$29:$E$29,X$7)*INDEX(ARCH_ScaleGen,1,X$6)</f>
        <v>1579.72222222222</v>
      </c>
      <c r="Y33" s="62" t="n">
        <f aca="false">INDEX(Arch!$C$29:$E$29,Y$7)*INDEX(ARCH_ScaleGen,1,Y$6)</f>
        <v>1579.72222222222</v>
      </c>
      <c r="Z33" s="62" t="n">
        <f aca="false">INDEX(Arch!$C$29:$E$29,Z$7)*INDEX(ARCH_ScaleGen,1,Z$6)</f>
        <v>1579.72222222222</v>
      </c>
      <c r="AA33" s="62" t="n">
        <f aca="false">INDEX(Arch!$C$29:$E$29,AA$7)*INDEX(ARCH_ScaleGen,1,AA$6)</f>
        <v>1579.72222222222</v>
      </c>
      <c r="AB33" s="62" t="n">
        <f aca="false">INDEX(Arch!$C$29:$E$29,AB$7)*INDEX(ARCH_ScaleGen,1,AB$6)</f>
        <v>1579.72222222222</v>
      </c>
      <c r="AC33" s="62" t="n">
        <f aca="false">INDEX(Arch!$C$29:$E$29,AC$7)*INDEX(ARCH_ScaleGen,1,AC$6)</f>
        <v>3950.92741935484</v>
      </c>
      <c r="AD33" s="62" t="n">
        <f aca="false">INDEX(Arch!$C$29:$E$29,AD$7)*INDEX(ARCH_ScaleGen,1,AD$6)</f>
        <v>3950.92741935484</v>
      </c>
      <c r="AE33" s="62" t="n">
        <f aca="false">INDEX(Arch!$C$29:$E$29,AE$7)*INDEX(ARCH_ScaleGen,1,AE$6)</f>
        <v>3950.92741935484</v>
      </c>
      <c r="AF33" s="62" t="n">
        <f aca="false">INDEX(Arch!$C$29:$E$29,AF$7)*INDEX(ARCH_ScaleGen,1,AF$6)</f>
        <v>3950.92741935484</v>
      </c>
      <c r="AG33" s="62" t="n">
        <f aca="false">INDEX(Arch!$C$29:$E$29,AG$7)*INDEX(ARCH_ScaleGen,1,AG$6)</f>
        <v>3950.92741935484</v>
      </c>
      <c r="AH33" s="62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1" t="s">
        <v>746</v>
      </c>
      <c r="B34" s="61" t="s">
        <v>271</v>
      </c>
      <c r="C34" s="62" t="n">
        <f aca="false">INDEX(Arch!$C$25:$E$25,C$7)*C11</f>
        <v>3965</v>
      </c>
      <c r="D34" s="62" t="n">
        <f aca="false">INDEX(Arch!$C$25:$E$25,D$7)*D11</f>
        <v>3965</v>
      </c>
      <c r="E34" s="62" t="n">
        <f aca="false">INDEX(Arch!$C$25:$E$25,E$7)*E11</f>
        <v>3965</v>
      </c>
      <c r="F34" s="62" t="n">
        <f aca="false">INDEX(Arch!$C$25:$E$25,F$7)*F11</f>
        <v>3965</v>
      </c>
      <c r="G34" s="62" t="n">
        <f aca="false">INDEX(Arch!$C$25:$E$25,G$7)*G11</f>
        <v>3965</v>
      </c>
      <c r="H34" s="62" t="n">
        <f aca="false">INDEX(Arch!$C$25:$E$25,H$7)*H11</f>
        <v>3965</v>
      </c>
      <c r="I34" s="62" t="n">
        <f aca="false">INDEX(Arch!$C$25:$E$25,I$7)*I11</f>
        <v>3965</v>
      </c>
      <c r="J34" s="62" t="n">
        <f aca="false">INDEX(Arch!$C$25:$E$25,J$7)*J11</f>
        <v>3965</v>
      </c>
      <c r="K34" s="62" t="n">
        <f aca="false">INDEX(Arch!$C$25:$E$25,K$7)*K11</f>
        <v>3965</v>
      </c>
      <c r="L34" s="62" t="n">
        <f aca="false">INDEX(Arch!$C$25:$E$25,L$7)*L11</f>
        <v>3965</v>
      </c>
      <c r="M34" s="62" t="n">
        <f aca="false">INDEX(Arch!$C$25:$E$25,M$7)*M11</f>
        <v>3965</v>
      </c>
      <c r="N34" s="62" t="n">
        <f aca="false">INDEX(Arch!$C$25:$E$25,N$7)*N11</f>
        <v>3965</v>
      </c>
      <c r="O34" s="62" t="n">
        <f aca="false">INDEX(Arch!$C$25:$E$25,O$7)*O11</f>
        <v>3965</v>
      </c>
      <c r="P34" s="62" t="n">
        <f aca="false">INDEX(Arch!$C$25:$E$25,P$7)*P11</f>
        <v>3965</v>
      </c>
      <c r="Q34" s="62" t="n">
        <f aca="false">INDEX(Arch!$C$25:$E$25,Q$7)*Q11</f>
        <v>3965</v>
      </c>
      <c r="R34" s="62" t="n">
        <f aca="false">INDEX(Arch!$C$25:$E$25,R$7)*R11</f>
        <v>3965</v>
      </c>
      <c r="S34" s="62" t="n">
        <f aca="false">INDEX(Arch!$C$25:$E$25,S$7)*S11</f>
        <v>3965</v>
      </c>
      <c r="T34" s="62" t="n">
        <f aca="false">INDEX(Arch!$C$25:$E$25,T$7)*T11</f>
        <v>3965</v>
      </c>
      <c r="U34" s="62" t="n">
        <f aca="false">INDEX(Arch!$C$25:$E$25,U$7)*U11</f>
        <v>3965</v>
      </c>
      <c r="V34" s="62" t="n">
        <f aca="false">INDEX(Arch!$C$25:$E$25,V$7)*V11</f>
        <v>3965</v>
      </c>
      <c r="W34" s="62" t="n">
        <f aca="false">INDEX(Arch!$C$25:$E$25,W$7)*W11</f>
        <v>3965</v>
      </c>
      <c r="X34" s="62" t="n">
        <f aca="false">INDEX(Arch!$C$25:$E$25,X$7)*X11</f>
        <v>3965</v>
      </c>
      <c r="Y34" s="62" t="n">
        <f aca="false">INDEX(Arch!$C$25:$E$25,Y$7)*Y11</f>
        <v>3965</v>
      </c>
      <c r="Z34" s="62" t="n">
        <f aca="false">INDEX(Arch!$C$25:$E$25,Z$7)*Z11</f>
        <v>3965</v>
      </c>
      <c r="AA34" s="62" t="n">
        <f aca="false">INDEX(Arch!$C$25:$E$25,AA$7)*AA11</f>
        <v>3965</v>
      </c>
      <c r="AB34" s="62" t="n">
        <f aca="false">INDEX(Arch!$C$25:$E$25,AB$7)*AB11</f>
        <v>3965</v>
      </c>
      <c r="AC34" s="123" t="n">
        <f aca="false">Arch!$E$21</f>
        <v>14976</v>
      </c>
      <c r="AD34" s="123" t="n">
        <f aca="false">Arch!$E$21</f>
        <v>14976</v>
      </c>
      <c r="AE34" s="123" t="n">
        <f aca="false">Arch!$E$22</f>
        <v>57600</v>
      </c>
      <c r="AF34" s="123" t="n">
        <f aca="false">Arch!$E$22</f>
        <v>57600</v>
      </c>
      <c r="AG34" s="123" t="n">
        <f aca="false">Arch!$E$23</f>
        <v>204800</v>
      </c>
      <c r="AH34" s="123" t="n">
        <f aca="false">Arch!$E$23</f>
        <v>204800</v>
      </c>
    </row>
    <row r="35" customFormat="false" ht="15" hidden="false" customHeight="false" outlineLevel="0" collapsed="false">
      <c r="A35" s="60" t="s">
        <v>487</v>
      </c>
      <c r="B35" s="61" t="s">
        <v>314</v>
      </c>
      <c r="C35" s="62" t="n">
        <f aca="false">INDEX(Arch!$C$30:$E$30,C$7)</f>
        <v>15990784</v>
      </c>
      <c r="D35" s="62" t="n">
        <f aca="false">INDEX(Arch!$C$30:$E$30,D$7)</f>
        <v>15990784</v>
      </c>
      <c r="E35" s="62" t="n">
        <f aca="false">INDEX(Arch!$C$30:$E$30,E$7)</f>
        <v>15990784</v>
      </c>
      <c r="F35" s="62" t="n">
        <f aca="false">INDEX(Arch!$C$30:$E$30,F$7)</f>
        <v>15990784</v>
      </c>
      <c r="G35" s="62" t="n">
        <f aca="false">INDEX(Arch!$C$30:$E$30,G$7)</f>
        <v>15990784</v>
      </c>
      <c r="H35" s="62" t="n">
        <f aca="false">INDEX(Arch!$C$30:$E$30,H$7)</f>
        <v>15990784</v>
      </c>
      <c r="I35" s="62" t="n">
        <f aca="false">INDEX(Arch!$C$30:$E$30,I$7)</f>
        <v>15990784</v>
      </c>
      <c r="J35" s="62" t="n">
        <f aca="false">INDEX(Arch!$C$30:$E$30,J$7)</f>
        <v>15990784</v>
      </c>
      <c r="K35" s="62" t="n">
        <f aca="false">INDEX(Arch!$C$30:$E$30,K$7)</f>
        <v>15990784</v>
      </c>
      <c r="L35" s="62" t="n">
        <f aca="false">INDEX(Arch!$C$30:$E$30,L$7)</f>
        <v>15990784</v>
      </c>
      <c r="M35" s="62" t="n">
        <f aca="false">INDEX(Arch!$C$30:$E$30,M$7)</f>
        <v>15990784</v>
      </c>
      <c r="N35" s="62" t="n">
        <f aca="false">INDEX(Arch!$C$30:$E$30,N$7)</f>
        <v>15990784</v>
      </c>
      <c r="O35" s="62" t="n">
        <f aca="false">INDEX(Arch!$C$30:$E$30,O$7)</f>
        <v>15990784</v>
      </c>
      <c r="P35" s="62" t="n">
        <f aca="false">INDEX(Arch!$C$30:$E$30,P$7)</f>
        <v>15990784</v>
      </c>
      <c r="Q35" s="62" t="n">
        <f aca="false">INDEX(Arch!$C$30:$E$30,Q$7)</f>
        <v>15990784</v>
      </c>
      <c r="R35" s="62" t="n">
        <f aca="false">INDEX(Arch!$C$30:$E$30,R$7)</f>
        <v>15990784</v>
      </c>
      <c r="S35" s="62" t="n">
        <f aca="false">INDEX(Arch!$C$30:$E$30,S$7)</f>
        <v>15990784</v>
      </c>
      <c r="T35" s="62" t="n">
        <f aca="false">INDEX(Arch!$C$30:$E$30,T$7)</f>
        <v>15990784</v>
      </c>
      <c r="U35" s="62" t="n">
        <f aca="false">INDEX(Arch!$C$30:$E$30,U$7)</f>
        <v>15990784</v>
      </c>
      <c r="V35" s="62" t="n">
        <f aca="false">INDEX(Arch!$C$30:$E$30,V$7)</f>
        <v>15990784</v>
      </c>
      <c r="W35" s="62" t="n">
        <f aca="false">INDEX(Arch!$C$30:$E$30,W$7)</f>
        <v>15990784</v>
      </c>
      <c r="X35" s="62" t="n">
        <f aca="false">INDEX(Arch!$C$30:$E$30,X$7)</f>
        <v>15990784</v>
      </c>
      <c r="Y35" s="62" t="n">
        <f aca="false">INDEX(Arch!$C$30:$E$30,Y$7)</f>
        <v>15990784</v>
      </c>
      <c r="Z35" s="62" t="n">
        <f aca="false">INDEX(Arch!$C$30:$E$30,Z$7)</f>
        <v>15990784</v>
      </c>
      <c r="AA35" s="62" t="n">
        <f aca="false">INDEX(Arch!$C$30:$E$30,AA$7)</f>
        <v>15990784</v>
      </c>
      <c r="AB35" s="62" t="n">
        <f aca="false">INDEX(Arch!$C$30:$E$30,AB$7)</f>
        <v>15990784</v>
      </c>
      <c r="AC35" s="62" t="n">
        <f aca="false">INDEX(Arch!$C$30:$E$30,AC$7)</f>
        <v>4915200</v>
      </c>
      <c r="AD35" s="62" t="n">
        <f aca="false">INDEX(Arch!$C$30:$E$30,AD$7)</f>
        <v>4915200</v>
      </c>
      <c r="AE35" s="62" t="n">
        <f aca="false">INDEX(Arch!$C$30:$E$30,AE$7)</f>
        <v>4915200</v>
      </c>
      <c r="AF35" s="62" t="n">
        <f aca="false">INDEX(Arch!$C$30:$E$30,AF$7)</f>
        <v>4915200</v>
      </c>
      <c r="AG35" s="62" t="n">
        <f aca="false">INDEX(Arch!$C$30:$E$30,AG$7)</f>
        <v>4915200</v>
      </c>
      <c r="AH35" s="62" t="n">
        <f aca="false">INDEX(Arch!$C$30:$E$30,AH$7)</f>
        <v>4915200</v>
      </c>
    </row>
    <row r="36" customFormat="false" ht="15" hidden="false" customHeight="false" outlineLevel="0" collapsed="false">
      <c r="A36" s="60" t="s">
        <v>289</v>
      </c>
      <c r="B36" s="61" t="s">
        <v>99</v>
      </c>
      <c r="C36" s="64" t="n">
        <f aca="false">INDEX(Arch!$C$16:$E$16,C$7)</f>
        <v>0.492</v>
      </c>
      <c r="D36" s="64" t="n">
        <f aca="false">INDEX(Arch!$C$16:$E$16,D$7)</f>
        <v>0.492</v>
      </c>
      <c r="E36" s="64" t="n">
        <f aca="false">INDEX(Arch!$C$16:$E$16,E$7)</f>
        <v>0.492</v>
      </c>
      <c r="F36" s="64" t="n">
        <f aca="false">INDEX(Arch!$C$16:$E$16,F$7)</f>
        <v>0.492</v>
      </c>
      <c r="G36" s="64" t="n">
        <f aca="false">INDEX(Arch!$C$16:$E$16,G$7)</f>
        <v>0.492</v>
      </c>
      <c r="H36" s="64" t="n">
        <f aca="false">INDEX(Arch!$C$16:$E$16,H$7)</f>
        <v>0.492</v>
      </c>
      <c r="I36" s="64" t="n">
        <f aca="false">INDEX(Arch!$C$16:$E$16,I$7)</f>
        <v>0.492</v>
      </c>
      <c r="J36" s="64" t="n">
        <f aca="false">INDEX(Arch!$C$16:$E$16,J$7)</f>
        <v>0.492</v>
      </c>
      <c r="K36" s="64" t="n">
        <f aca="false">INDEX(Arch!$C$16:$E$16,K$7)</f>
        <v>0.492</v>
      </c>
      <c r="L36" s="64" t="n">
        <f aca="false">INDEX(Arch!$C$16:$E$16,L$7)</f>
        <v>0.492</v>
      </c>
      <c r="M36" s="64" t="n">
        <f aca="false">INDEX(Arch!$C$16:$E$16,M$7)</f>
        <v>0.492</v>
      </c>
      <c r="N36" s="64" t="n">
        <f aca="false">INDEX(Arch!$C$16:$E$16,N$7)</f>
        <v>0.492</v>
      </c>
      <c r="O36" s="64" t="n">
        <f aca="false">INDEX(Arch!$C$16:$E$16,O$7)</f>
        <v>0.492</v>
      </c>
      <c r="P36" s="64" t="n">
        <f aca="false">INDEX(Arch!$C$16:$E$16,P$7)</f>
        <v>0.492</v>
      </c>
      <c r="Q36" s="64" t="n">
        <f aca="false">INDEX(Arch!$C$16:$E$16,Q$7)</f>
        <v>0.492</v>
      </c>
      <c r="R36" s="64" t="n">
        <f aca="false">INDEX(Arch!$C$16:$E$16,R$7)</f>
        <v>0.492</v>
      </c>
      <c r="S36" s="64" t="n">
        <f aca="false">INDEX(Arch!$C$16:$E$16,S$7)</f>
        <v>0.492</v>
      </c>
      <c r="T36" s="64" t="n">
        <f aca="false">INDEX(Arch!$C$16:$E$16,T$7)</f>
        <v>0.492</v>
      </c>
      <c r="U36" s="64" t="n">
        <f aca="false">INDEX(Arch!$C$16:$E$16,U$7)</f>
        <v>0.492</v>
      </c>
      <c r="V36" s="64" t="n">
        <f aca="false">INDEX(Arch!$C$16:$E$16,V$7)</f>
        <v>0.492</v>
      </c>
      <c r="W36" s="64" t="n">
        <f aca="false">INDEX(Arch!$C$16:$E$16,W$7)</f>
        <v>0.492</v>
      </c>
      <c r="X36" s="64" t="n">
        <f aca="false">INDEX(Arch!$C$16:$E$16,X$7)</f>
        <v>0.492</v>
      </c>
      <c r="Y36" s="64" t="n">
        <f aca="false">INDEX(Arch!$C$16:$E$16,Y$7)</f>
        <v>0.492</v>
      </c>
      <c r="Z36" s="64" t="n">
        <f aca="false">INDEX(Arch!$C$16:$E$16,Z$7)</f>
        <v>0.492</v>
      </c>
      <c r="AA36" s="64" t="n">
        <f aca="false">INDEX(Arch!$C$16:$E$16,AA$7)</f>
        <v>0.492</v>
      </c>
      <c r="AB36" s="64" t="n">
        <f aca="false">INDEX(Arch!$C$16:$E$16,AB$7)</f>
        <v>0.492</v>
      </c>
      <c r="AC36" s="64" t="n">
        <f aca="false">INDEX(Arch!$C$16:$E$16,AC$7)</f>
        <v>1</v>
      </c>
      <c r="AD36" s="64" t="n">
        <f aca="false">INDEX(Arch!$C$16:$E$16,AD$7)</f>
        <v>1</v>
      </c>
      <c r="AE36" s="64" t="n">
        <f aca="false">INDEX(Arch!$C$16:$E$16,AE$7)</f>
        <v>1</v>
      </c>
      <c r="AF36" s="64" t="n">
        <f aca="false">INDEX(Arch!$C$16:$E$16,AF$7)</f>
        <v>1</v>
      </c>
      <c r="AG36" s="64" t="n">
        <f aca="false">INDEX(Arch!$C$16:$E$16,AG$7)</f>
        <v>1</v>
      </c>
      <c r="AH36" s="64" t="n">
        <f aca="false">INDEX(Arch!$C$16:$E$16,AH$7)</f>
        <v>1</v>
      </c>
    </row>
    <row r="37" customFormat="false" ht="15" hidden="false" customHeight="false" outlineLevel="0" collapsed="false">
      <c r="A37" s="60" t="s">
        <v>747</v>
      </c>
      <c r="B37" s="61" t="s">
        <v>292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4224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4224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4224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4224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4224</v>
      </c>
      <c r="R37" s="62" t="n">
        <f aca="false">INDEX(Arch!$C$17:$E$17,R$7)</f>
        <v>4224</v>
      </c>
      <c r="S37" s="62" t="n">
        <f aca="false">INDEX(Arch!$C$17:$E$17,S$7)</f>
        <v>4224</v>
      </c>
      <c r="T37" s="62" t="n">
        <f aca="false">INDEX(Arch!$C$17:$E$17,T$7)</f>
        <v>4224</v>
      </c>
      <c r="U37" s="62" t="n">
        <f aca="false">INDEX(Arch!$C$17:$E$17,U$7)</f>
        <v>4224</v>
      </c>
      <c r="V37" s="62" t="n">
        <f aca="false">INDEX(Arch!$C$17:$E$17,V$7)</f>
        <v>4224</v>
      </c>
      <c r="W37" s="62" t="n">
        <f aca="false">INDEX(Arch!$C$17:$E$17,W$7)</f>
        <v>4224</v>
      </c>
      <c r="X37" s="62" t="n">
        <f aca="false">INDEX(Arch!$C$17:$E$17,X$7)</f>
        <v>4224</v>
      </c>
      <c r="Y37" s="62" t="n">
        <f aca="false">INDEX(Arch!$C$17:$E$17,Y$7)</f>
        <v>4224</v>
      </c>
      <c r="Z37" s="62" t="n">
        <f aca="false">INDEX(Arch!$C$17:$E$17,Z$7)</f>
        <v>4224</v>
      </c>
      <c r="AA37" s="62" t="n">
        <f aca="false">INDEX(Arch!$C$17:$E$17,AA$7)</f>
        <v>4224</v>
      </c>
      <c r="AB37" s="62" t="n">
        <f aca="false">INDEX(Arch!$C$17:$E$17,AB$7)</f>
        <v>4224</v>
      </c>
      <c r="AC37" s="62" t="n">
        <f aca="false">INDEX(Arch!$C$17:$E$17,AC$7)</f>
        <v>0</v>
      </c>
      <c r="AD37" s="62" t="n">
        <f aca="false">INDEX(Arch!$C$17:$E$17,AD$7)</f>
        <v>0</v>
      </c>
      <c r="AE37" s="62" t="n">
        <f aca="false">INDEX(Arch!$C$17:$E$17,AE$7)</f>
        <v>0</v>
      </c>
      <c r="AF37" s="62" t="n">
        <f aca="false">INDEX(Arch!$C$17:$E$17,AF$7)</f>
        <v>0</v>
      </c>
      <c r="AG37" s="62" t="n">
        <f aca="false">INDEX(Arch!$C$17:$E$17,AG$7)</f>
        <v>0</v>
      </c>
      <c r="AH37" s="62" t="n">
        <f aca="false">INDEX(Arch!$C$17:$E$17,AH$7)</f>
        <v>0</v>
      </c>
    </row>
    <row r="38" customFormat="false" ht="15" hidden="false" customHeight="false" outlineLevel="0" collapsed="false">
      <c r="A38" s="60" t="s">
        <v>294</v>
      </c>
      <c r="B38" s="61" t="s">
        <v>103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128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128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128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128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128</v>
      </c>
      <c r="R38" s="62" t="n">
        <f aca="false">INDEX(Arch!$C$18:$E$18,R$7)</f>
        <v>128</v>
      </c>
      <c r="S38" s="62" t="n">
        <f aca="false">INDEX(Arch!$C$18:$E$18,S$7)</f>
        <v>128</v>
      </c>
      <c r="T38" s="62" t="n">
        <f aca="false">INDEX(Arch!$C$18:$E$18,T$7)</f>
        <v>128</v>
      </c>
      <c r="U38" s="62" t="n">
        <f aca="false">INDEX(Arch!$C$18:$E$18,U$7)</f>
        <v>128</v>
      </c>
      <c r="V38" s="62" t="n">
        <f aca="false">INDEX(Arch!$C$18:$E$18,V$7)</f>
        <v>128</v>
      </c>
      <c r="W38" s="62" t="n">
        <f aca="false">INDEX(Arch!$C$18:$E$18,W$7)</f>
        <v>128</v>
      </c>
      <c r="X38" s="62" t="n">
        <f aca="false">INDEX(Arch!$C$18:$E$18,X$7)</f>
        <v>128</v>
      </c>
      <c r="Y38" s="62" t="n">
        <f aca="false">INDEX(Arch!$C$18:$E$18,Y$7)</f>
        <v>128</v>
      </c>
      <c r="Z38" s="62" t="n">
        <f aca="false">INDEX(Arch!$C$18:$E$18,Z$7)</f>
        <v>128</v>
      </c>
      <c r="AA38" s="62" t="n">
        <f aca="false">INDEX(Arch!$C$18:$E$18,AA$7)</f>
        <v>128</v>
      </c>
      <c r="AB38" s="62" t="n">
        <f aca="false">INDEX(Arch!$C$18:$E$18,AB$7)</f>
        <v>128</v>
      </c>
      <c r="AC38" s="62" t="n">
        <f aca="false">INDEX(Arch!$C$18:$E$18,AC$7)</f>
        <v>1</v>
      </c>
      <c r="AD38" s="62" t="n">
        <f aca="false">INDEX(Arch!$C$18:$E$18,AD$7)</f>
        <v>1</v>
      </c>
      <c r="AE38" s="62" t="n">
        <f aca="false">INDEX(Arch!$C$18:$E$18,AE$7)</f>
        <v>1</v>
      </c>
      <c r="AF38" s="62" t="n">
        <f aca="false">INDEX(Arch!$C$18:$E$18,AF$7)</f>
        <v>1</v>
      </c>
      <c r="AG38" s="62" t="n">
        <f aca="false">INDEX(Arch!$C$18:$E$18,AG$7)</f>
        <v>1</v>
      </c>
      <c r="AH38" s="62" t="n">
        <f aca="false">INDEX(Arch!$C$18:$E$18,AH$7)</f>
        <v>1</v>
      </c>
    </row>
    <row r="39" customFormat="false" ht="15" hidden="false" customHeight="false" outlineLevel="0" collapsed="false">
      <c r="A39" s="60" t="s">
        <v>296</v>
      </c>
      <c r="B39" s="61" t="s">
        <v>292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128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128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128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128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128</v>
      </c>
      <c r="R39" s="62" t="n">
        <f aca="false">INDEX(Arch!$C$19:$E$19,R$7)</f>
        <v>128</v>
      </c>
      <c r="S39" s="62" t="n">
        <f aca="false">INDEX(Arch!$C$19:$E$19,S$7)</f>
        <v>128</v>
      </c>
      <c r="T39" s="62" t="n">
        <f aca="false">INDEX(Arch!$C$19:$E$19,T$7)</f>
        <v>128</v>
      </c>
      <c r="U39" s="62" t="n">
        <f aca="false">INDEX(Arch!$C$19:$E$19,U$7)</f>
        <v>128</v>
      </c>
      <c r="V39" s="62" t="n">
        <f aca="false">INDEX(Arch!$C$19:$E$19,V$7)</f>
        <v>128</v>
      </c>
      <c r="W39" s="62" t="n">
        <f aca="false">INDEX(Arch!$C$19:$E$19,W$7)</f>
        <v>128</v>
      </c>
      <c r="X39" s="62" t="n">
        <f aca="false">INDEX(Arch!$C$19:$E$19,X$7)</f>
        <v>128</v>
      </c>
      <c r="Y39" s="62" t="n">
        <f aca="false">INDEX(Arch!$C$19:$E$19,Y$7)</f>
        <v>128</v>
      </c>
      <c r="Z39" s="62" t="n">
        <f aca="false">INDEX(Arch!$C$19:$E$19,Z$7)</f>
        <v>128</v>
      </c>
      <c r="AA39" s="62" t="n">
        <f aca="false">INDEX(Arch!$C$19:$E$19,AA$7)</f>
        <v>128</v>
      </c>
      <c r="AB39" s="62" t="n">
        <f aca="false">INDEX(Arch!$C$19:$E$19,AB$7)</f>
        <v>128</v>
      </c>
      <c r="AC39" s="62" t="n">
        <f aca="false">INDEX(Arch!$C$19:$E$19,AC$7)</f>
        <v>0</v>
      </c>
      <c r="AD39" s="62" t="n">
        <f aca="false">INDEX(Arch!$C$19:$E$19,AD$7)</f>
        <v>0</v>
      </c>
      <c r="AE39" s="62" t="n">
        <f aca="false">INDEX(Arch!$C$19:$E$19,AE$7)</f>
        <v>0</v>
      </c>
      <c r="AF39" s="62" t="n">
        <f aca="false">INDEX(Arch!$C$19:$E$19,AF$7)</f>
        <v>0</v>
      </c>
      <c r="AG39" s="62" t="n">
        <f aca="false">INDEX(Arch!$C$19:$E$19,AG$7)</f>
        <v>0</v>
      </c>
      <c r="AH39" s="62" t="n">
        <f aca="false">INDEX(Arch!$C$19:$E$19,AH$7)</f>
        <v>0</v>
      </c>
    </row>
    <row r="40" customFormat="false" ht="15" hidden="false" customHeight="false" outlineLevel="0" collapsed="false">
      <c r="A40" s="75" t="s">
        <v>748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</row>
    <row r="41" customFormat="false" ht="15" hidden="false" customHeight="false" outlineLevel="0" collapsed="false">
      <c r="A41" s="61" t="s">
        <v>371</v>
      </c>
      <c r="B41" s="61" t="s">
        <v>372</v>
      </c>
      <c r="C41" s="62" t="n">
        <f aca="false">INDEX(Serving!$C$21:$E$21,C$7)</f>
        <v>65</v>
      </c>
      <c r="D41" s="62" t="n">
        <f aca="false">INDEX(Serving!$C$21:$E$21,D$7)</f>
        <v>65</v>
      </c>
      <c r="E41" s="62" t="n">
        <f aca="false">INDEX(Serving!$C$21:$E$21,E$7)</f>
        <v>65</v>
      </c>
      <c r="F41" s="62" t="n">
        <f aca="false">INDEX(Serving!$C$21:$E$21,F$7)</f>
        <v>65</v>
      </c>
      <c r="G41" s="62" t="n">
        <f aca="false">INDEX(Serving!$C$21:$E$21,G$7)</f>
        <v>65</v>
      </c>
      <c r="H41" s="62" t="n">
        <f aca="false">INDEX(Serving!$C$21:$E$21,H$7)</f>
        <v>65</v>
      </c>
      <c r="I41" s="62" t="n">
        <f aca="false">INDEX(Serving!$C$21:$E$21,I$7)</f>
        <v>65</v>
      </c>
      <c r="J41" s="62" t="n">
        <f aca="false">INDEX(Serving!$C$21:$E$21,J$7)</f>
        <v>65</v>
      </c>
      <c r="K41" s="62" t="n">
        <f aca="false">INDEX(Serving!$C$21:$E$21,K$7)</f>
        <v>65</v>
      </c>
      <c r="L41" s="62" t="n">
        <f aca="false">INDEX(Serving!$C$21:$E$21,L$7)</f>
        <v>65</v>
      </c>
      <c r="M41" s="62" t="n">
        <f aca="false">INDEX(Serving!$C$21:$E$21,M$7)</f>
        <v>65</v>
      </c>
      <c r="N41" s="62" t="n">
        <f aca="false">INDEX(Serving!$C$21:$E$21,N$7)</f>
        <v>65</v>
      </c>
      <c r="O41" s="124" t="n">
        <v>40</v>
      </c>
      <c r="P41" s="124" t="n">
        <v>40</v>
      </c>
      <c r="Q41" s="124" t="n">
        <v>100</v>
      </c>
      <c r="R41" s="124" t="n">
        <v>100</v>
      </c>
      <c r="S41" s="62" t="n">
        <f aca="false">INDEX(Serving!$C$21:$E$21,S$7)</f>
        <v>65</v>
      </c>
      <c r="T41" s="62" t="n">
        <f aca="false">INDEX(Serving!$C$21:$E$21,T$7)</f>
        <v>65</v>
      </c>
      <c r="U41" s="62" t="n">
        <f aca="false">INDEX(Serving!$C$21:$E$21,U$7)</f>
        <v>65</v>
      </c>
      <c r="V41" s="62" t="n">
        <f aca="false">INDEX(Serving!$C$21:$E$21,V$7)</f>
        <v>65</v>
      </c>
      <c r="W41" s="62" t="n">
        <f aca="false">INDEX(Serving!$C$21:$E$21,W$7)</f>
        <v>65</v>
      </c>
      <c r="X41" s="62" t="n">
        <f aca="false">INDEX(Serving!$C$21:$E$21,X$7)</f>
        <v>65</v>
      </c>
      <c r="Y41" s="62" t="n">
        <f aca="false">INDEX(Serving!$C$21:$E$21,Y$7)</f>
        <v>65</v>
      </c>
      <c r="Z41" s="62" t="n">
        <f aca="false">INDEX(Serving!$C$21:$E$21,Z$7)</f>
        <v>65</v>
      </c>
      <c r="AA41" s="62" t="n">
        <f aca="false">INDEX(Serving!$C$21:$E$21,AA$7)</f>
        <v>65</v>
      </c>
      <c r="AB41" s="62" t="n">
        <f aca="false">INDEX(Serving!$C$21:$E$21,AB$7)</f>
        <v>65</v>
      </c>
      <c r="AC41" s="62" t="n">
        <f aca="false">INDEX(Serving!$C$21:$E$21,AC$7)</f>
        <v>55</v>
      </c>
      <c r="AD41" s="62" t="n">
        <f aca="false">INDEX(Serving!$C$21:$E$21,AD$7)</f>
        <v>55</v>
      </c>
      <c r="AE41" s="62" t="n">
        <f aca="false">INDEX(Serving!$C$21:$E$21,AE$7)</f>
        <v>55</v>
      </c>
      <c r="AF41" s="62" t="n">
        <f aca="false">INDEX(Serving!$C$21:$E$21,AF$7)</f>
        <v>55</v>
      </c>
      <c r="AG41" s="62" t="n">
        <f aca="false">INDEX(Serving!$C$21:$E$21,AG$7)</f>
        <v>55</v>
      </c>
      <c r="AH41" s="62" t="n">
        <f aca="false">INDEX(Serving!$C$21:$E$21,AH$7)</f>
        <v>55</v>
      </c>
    </row>
    <row r="42" customFormat="false" ht="15" hidden="false" customHeight="false" outlineLevel="0" collapsed="false">
      <c r="A42" s="61" t="s">
        <v>749</v>
      </c>
      <c r="B42" s="61" t="s">
        <v>375</v>
      </c>
      <c r="C42" s="108" t="n">
        <f aca="false">INDEX(Serving!$C$22:$E$22,C$7)</f>
        <v>3</v>
      </c>
      <c r="D42" s="108" t="n">
        <f aca="false">INDEX(Serving!$C$22:$E$22,D$7)</f>
        <v>3</v>
      </c>
      <c r="E42" s="108" t="n">
        <f aca="false">INDEX(Serving!$C$22:$E$22,E$7)</f>
        <v>3</v>
      </c>
      <c r="F42" s="108" t="n">
        <f aca="false">INDEX(Serving!$C$22:$E$22,F$7)</f>
        <v>3</v>
      </c>
      <c r="G42" s="108" t="n">
        <f aca="false">INDEX(Serving!$C$22:$E$22,G$7)</f>
        <v>3</v>
      </c>
      <c r="H42" s="108" t="n">
        <f aca="false">INDEX(Serving!$C$22:$E$22,H$7)</f>
        <v>3</v>
      </c>
      <c r="I42" s="108" t="n">
        <f aca="false">INDEX(Serving!$C$22:$E$22,I$7)</f>
        <v>3</v>
      </c>
      <c r="J42" s="108" t="n">
        <f aca="false">INDEX(Serving!$C$22:$E$22,J$7)</f>
        <v>3</v>
      </c>
      <c r="K42" s="108" t="n">
        <f aca="false">INDEX(Serving!$C$22:$E$22,K$7)</f>
        <v>3</v>
      </c>
      <c r="L42" s="108" t="n">
        <f aca="false">INDEX(Serving!$C$22:$E$22,L$7)</f>
        <v>3</v>
      </c>
      <c r="M42" s="108" t="n">
        <f aca="false">INDEX(Serving!$C$22:$E$22,M$7)</f>
        <v>3</v>
      </c>
      <c r="N42" s="108" t="n">
        <f aca="false">INDEX(Serving!$C$22:$E$22,N$7)</f>
        <v>3</v>
      </c>
      <c r="O42" s="108" t="n">
        <f aca="false">INDEX(Serving!$C$22:$E$22,O$7)</f>
        <v>3</v>
      </c>
      <c r="P42" s="108" t="n">
        <f aca="false">INDEX(Serving!$C$22:$E$22,P$7)</f>
        <v>3</v>
      </c>
      <c r="Q42" s="108" t="n">
        <f aca="false">INDEX(Serving!$C$22:$E$22,Q$7)</f>
        <v>3</v>
      </c>
      <c r="R42" s="108" t="n">
        <f aca="false">INDEX(Serving!$C$22:$E$22,R$7)</f>
        <v>3</v>
      </c>
      <c r="S42" s="108" t="n">
        <f aca="false">INDEX(Serving!$C$22:$E$22,S$7)</f>
        <v>3</v>
      </c>
      <c r="T42" s="108" t="n">
        <f aca="false">INDEX(Serving!$C$22:$E$22,T$7)</f>
        <v>3</v>
      </c>
      <c r="U42" s="108" t="n">
        <f aca="false">INDEX(Serving!$C$22:$E$22,U$7)</f>
        <v>3</v>
      </c>
      <c r="V42" s="108" t="n">
        <f aca="false">INDEX(Serving!$C$22:$E$22,V$7)</f>
        <v>3</v>
      </c>
      <c r="W42" s="108" t="n">
        <f aca="false">INDEX(Serving!$C$22:$E$22,W$7)</f>
        <v>3</v>
      </c>
      <c r="X42" s="108" t="n">
        <f aca="false">INDEX(Serving!$C$22:$E$22,X$7)</f>
        <v>3</v>
      </c>
      <c r="Y42" s="108" t="n">
        <f aca="false">INDEX(Serving!$C$22:$E$22,Y$7)</f>
        <v>3</v>
      </c>
      <c r="Z42" s="108" t="n">
        <f aca="false">INDEX(Serving!$C$22:$E$22,Z$7)</f>
        <v>3</v>
      </c>
      <c r="AA42" s="108" t="n">
        <f aca="false">INDEX(Serving!$C$22:$E$22,AA$7)</f>
        <v>3</v>
      </c>
      <c r="AB42" s="108" t="n">
        <f aca="false">INDEX(Serving!$C$22:$E$22,AB$7)</f>
        <v>3</v>
      </c>
      <c r="AC42" s="108" t="n">
        <f aca="false">INDEX(Serving!$C$22:$E$22,AC$7)</f>
        <v>5</v>
      </c>
      <c r="AD42" s="108" t="n">
        <f aca="false">INDEX(Serving!$C$22:$E$22,AD$7)</f>
        <v>5</v>
      </c>
      <c r="AE42" s="108" t="n">
        <f aca="false">INDEX(Serving!$C$22:$E$22,AE$7)</f>
        <v>5</v>
      </c>
      <c r="AF42" s="108" t="n">
        <f aca="false">INDEX(Serving!$C$22:$E$22,AF$7)</f>
        <v>5</v>
      </c>
      <c r="AG42" s="108" t="n">
        <f aca="false">INDEX(Serving!$C$22:$E$22,AG$7)</f>
        <v>5</v>
      </c>
      <c r="AH42" s="108" t="n">
        <f aca="false">INDEX(Serving!$C$22:$E$22,AH$7)</f>
        <v>5</v>
      </c>
    </row>
    <row r="43" customFormat="false" ht="15" hidden="false" customHeight="false" outlineLevel="0" collapsed="false">
      <c r="A43" s="60" t="s">
        <v>750</v>
      </c>
      <c r="B43" s="61" t="s">
        <v>292</v>
      </c>
      <c r="C43" s="62" t="n">
        <f aca="false">INDEX(Serving!$C$23:$E$23,C$7)</f>
        <v>16384</v>
      </c>
      <c r="D43" s="62" t="n">
        <f aca="false">INDEX(Serving!$C$23:$E$23,D$7)</f>
        <v>16384</v>
      </c>
      <c r="E43" s="62" t="n">
        <f aca="false">INDEX(Serving!$C$23:$E$23,E$7)</f>
        <v>16384</v>
      </c>
      <c r="F43" s="62" t="n">
        <f aca="false">INDEX(Serving!$C$23:$E$23,F$7)</f>
        <v>16384</v>
      </c>
      <c r="G43" s="62" t="n">
        <f aca="false">INDEX(Serving!$C$23:$E$23,G$7)</f>
        <v>16384</v>
      </c>
      <c r="H43" s="62" t="n">
        <f aca="false">INDEX(Serving!$C$23:$E$23,H$7)</f>
        <v>16384</v>
      </c>
      <c r="I43" s="62" t="n">
        <f aca="false">INDEX(Serving!$C$23:$E$23,I$7)</f>
        <v>16384</v>
      </c>
      <c r="J43" s="62" t="n">
        <f aca="false">INDEX(Serving!$C$23:$E$23,J$7)</f>
        <v>16384</v>
      </c>
      <c r="K43" s="62" t="n">
        <f aca="false">INDEX(Serving!$C$23:$E$23,K$7)</f>
        <v>16384</v>
      </c>
      <c r="L43" s="62" t="n">
        <f aca="false">INDEX(Serving!$C$23:$E$23,L$7)</f>
        <v>16384</v>
      </c>
      <c r="M43" s="62" t="n">
        <f aca="false">INDEX(Serving!$C$23:$E$23,M$7)</f>
        <v>16384</v>
      </c>
      <c r="N43" s="62" t="n">
        <f aca="false">INDEX(Serving!$C$23:$E$23,N$7)</f>
        <v>16384</v>
      </c>
      <c r="O43" s="62" t="n">
        <f aca="false">INDEX(Serving!$C$23:$E$23,O$7)</f>
        <v>16384</v>
      </c>
      <c r="P43" s="62" t="n">
        <f aca="false">INDEX(Serving!$C$23:$E$23,P$7)</f>
        <v>16384</v>
      </c>
      <c r="Q43" s="62" t="n">
        <f aca="false">INDEX(Serving!$C$23:$E$23,Q$7)</f>
        <v>16384</v>
      </c>
      <c r="R43" s="62" t="n">
        <f aca="false">INDEX(Serving!$C$23:$E$23,R$7)</f>
        <v>16384</v>
      </c>
      <c r="S43" s="62" t="n">
        <f aca="false">INDEX(Serving!$C$23:$E$23,S$7)</f>
        <v>16384</v>
      </c>
      <c r="T43" s="62" t="n">
        <f aca="false">INDEX(Serving!$C$23:$E$23,T$7)</f>
        <v>16384</v>
      </c>
      <c r="U43" s="62" t="n">
        <f aca="false">INDEX(Serving!$C$23:$E$23,U$7)</f>
        <v>16384</v>
      </c>
      <c r="V43" s="62" t="n">
        <f aca="false">INDEX(Serving!$C$23:$E$23,V$7)</f>
        <v>16384</v>
      </c>
      <c r="W43" s="124" t="n">
        <v>4096</v>
      </c>
      <c r="X43" s="124" t="n">
        <v>4096</v>
      </c>
      <c r="Y43" s="124" t="n">
        <v>65536</v>
      </c>
      <c r="Z43" s="124" t="n">
        <v>65536</v>
      </c>
      <c r="AA43" s="62" t="n">
        <f aca="false">INDEX(Serving!$C$23:$E$23,AA$7)</f>
        <v>16384</v>
      </c>
      <c r="AB43" s="62" t="n">
        <f aca="false">INDEX(Serving!$C$23:$E$23,AB$7)</f>
        <v>16384</v>
      </c>
      <c r="AC43" s="62" t="n">
        <f aca="false">INDEX(Serving!$C$23:$E$23,AC$7)</f>
        <v>32768</v>
      </c>
      <c r="AD43" s="62" t="n">
        <f aca="false">INDEX(Serving!$C$23:$E$23,AD$7)</f>
        <v>32768</v>
      </c>
      <c r="AE43" s="62" t="n">
        <f aca="false">INDEX(Serving!$C$23:$E$23,AE$7)</f>
        <v>32768</v>
      </c>
      <c r="AF43" s="62" t="n">
        <f aca="false">INDEX(Serving!$C$23:$E$23,AF$7)</f>
        <v>32768</v>
      </c>
      <c r="AG43" s="62" t="n">
        <f aca="false">INDEX(Serving!$C$23:$E$23,AG$7)</f>
        <v>32768</v>
      </c>
      <c r="AH43" s="62" t="n">
        <f aca="false">INDEX(Serving!$C$23:$E$23,AH$7)</f>
        <v>32768</v>
      </c>
    </row>
    <row r="44" customFormat="false" ht="15" hidden="false" customHeight="false" outlineLevel="0" collapsed="false">
      <c r="A44" s="60" t="s">
        <v>378</v>
      </c>
      <c r="B44" s="61" t="s">
        <v>292</v>
      </c>
      <c r="C44" s="62" t="n">
        <f aca="false">INDEX(Serving!$C$24:$E$24,C$7)</f>
        <v>2048</v>
      </c>
      <c r="D44" s="62" t="n">
        <f aca="false">INDEX(Serving!$C$24:$E$24,D$7)</f>
        <v>2048</v>
      </c>
      <c r="E44" s="62" t="n">
        <f aca="false">INDEX(Serving!$C$24:$E$24,E$7)</f>
        <v>2048</v>
      </c>
      <c r="F44" s="62" t="n">
        <f aca="false">INDEX(Serving!$C$24:$E$24,F$7)</f>
        <v>2048</v>
      </c>
      <c r="G44" s="62" t="n">
        <f aca="false">INDEX(Serving!$C$24:$E$24,G$7)</f>
        <v>2048</v>
      </c>
      <c r="H44" s="62" t="n">
        <f aca="false">INDEX(Serving!$C$24:$E$24,H$7)</f>
        <v>2048</v>
      </c>
      <c r="I44" s="62" t="n">
        <f aca="false">INDEX(Serving!$C$24:$E$24,I$7)</f>
        <v>2048</v>
      </c>
      <c r="J44" s="62" t="n">
        <f aca="false">INDEX(Serving!$C$24:$E$24,J$7)</f>
        <v>2048</v>
      </c>
      <c r="K44" s="62" t="n">
        <f aca="false">INDEX(Serving!$C$24:$E$24,K$7)</f>
        <v>2048</v>
      </c>
      <c r="L44" s="62" t="n">
        <f aca="false">INDEX(Serving!$C$24:$E$24,L$7)</f>
        <v>2048</v>
      </c>
      <c r="M44" s="62" t="n">
        <f aca="false">INDEX(Serving!$C$24:$E$24,M$7)</f>
        <v>2048</v>
      </c>
      <c r="N44" s="62" t="n">
        <f aca="false">INDEX(Serving!$C$24:$E$24,N$7)</f>
        <v>2048</v>
      </c>
      <c r="O44" s="62" t="n">
        <f aca="false">INDEX(Serving!$C$24:$E$24,O$7)</f>
        <v>2048</v>
      </c>
      <c r="P44" s="62" t="n">
        <f aca="false">INDEX(Serving!$C$24:$E$24,P$7)</f>
        <v>2048</v>
      </c>
      <c r="Q44" s="62" t="n">
        <f aca="false">INDEX(Serving!$C$24:$E$24,Q$7)</f>
        <v>2048</v>
      </c>
      <c r="R44" s="62" t="n">
        <f aca="false">INDEX(Serving!$C$24:$E$24,R$7)</f>
        <v>2048</v>
      </c>
      <c r="S44" s="62" t="n">
        <f aca="false">INDEX(Serving!$C$24:$E$24,S$7)</f>
        <v>2048</v>
      </c>
      <c r="T44" s="62" t="n">
        <f aca="false">INDEX(Serving!$C$24:$E$24,T$7)</f>
        <v>2048</v>
      </c>
      <c r="U44" s="62" t="n">
        <f aca="false">INDEX(Serving!$C$24:$E$24,U$7)</f>
        <v>2048</v>
      </c>
      <c r="V44" s="62" t="n">
        <f aca="false">INDEX(Serving!$C$24:$E$24,V$7)</f>
        <v>2048</v>
      </c>
      <c r="W44" s="62" t="n">
        <f aca="false">INDEX(Serving!$C$24:$E$24,W$7)</f>
        <v>2048</v>
      </c>
      <c r="X44" s="62" t="n">
        <f aca="false">INDEX(Serving!$C$24:$E$24,X$7)</f>
        <v>2048</v>
      </c>
      <c r="Y44" s="62" t="n">
        <f aca="false">INDEX(Serving!$C$24:$E$24,Y$7)</f>
        <v>2048</v>
      </c>
      <c r="Z44" s="62" t="n">
        <f aca="false">INDEX(Serving!$C$24:$E$24,Z$7)</f>
        <v>2048</v>
      </c>
      <c r="AA44" s="62" t="n">
        <f aca="false">INDEX(Serving!$C$24:$E$24,AA$7)</f>
        <v>2048</v>
      </c>
      <c r="AB44" s="62" t="n">
        <f aca="false">INDEX(Serving!$C$24:$E$24,AB$7)</f>
        <v>2048</v>
      </c>
      <c r="AC44" s="62" t="n">
        <f aca="false">INDEX(Serving!$C$24:$E$24,AC$7)</f>
        <v>4096</v>
      </c>
      <c r="AD44" s="62" t="n">
        <f aca="false">INDEX(Serving!$C$24:$E$24,AD$7)</f>
        <v>4096</v>
      </c>
      <c r="AE44" s="62" t="n">
        <f aca="false">INDEX(Serving!$C$24:$E$24,AE$7)</f>
        <v>4096</v>
      </c>
      <c r="AF44" s="62" t="n">
        <f aca="false">INDEX(Serving!$C$24:$E$24,AF$7)</f>
        <v>4096</v>
      </c>
      <c r="AG44" s="62" t="n">
        <f aca="false">INDEX(Serving!$C$24:$E$24,AG$7)</f>
        <v>4096</v>
      </c>
      <c r="AH44" s="62" t="n">
        <f aca="false">INDEX(Serving!$C$24:$E$24,AH$7)</f>
        <v>4096</v>
      </c>
    </row>
    <row r="45" customFormat="false" ht="15" hidden="false" customHeight="false" outlineLevel="0" collapsed="false">
      <c r="A45" s="61" t="s">
        <v>379</v>
      </c>
      <c r="B45" s="61" t="s">
        <v>292</v>
      </c>
      <c r="C45" s="67" t="n">
        <f aca="false">C43+C44/2</f>
        <v>17408</v>
      </c>
      <c r="D45" s="67" t="n">
        <f aca="false">D43+D44/2</f>
        <v>17408</v>
      </c>
      <c r="E45" s="67" t="n">
        <f aca="false">E43+E44/2</f>
        <v>17408</v>
      </c>
      <c r="F45" s="67" t="n">
        <f aca="false">F43+F44/2</f>
        <v>17408</v>
      </c>
      <c r="G45" s="67" t="n">
        <f aca="false">G43+G44/2</f>
        <v>17408</v>
      </c>
      <c r="H45" s="67" t="n">
        <f aca="false">H43+H44/2</f>
        <v>17408</v>
      </c>
      <c r="I45" s="67" t="n">
        <f aca="false">I43+I44/2</f>
        <v>17408</v>
      </c>
      <c r="J45" s="67" t="n">
        <f aca="false">J43+J44/2</f>
        <v>17408</v>
      </c>
      <c r="K45" s="67" t="n">
        <f aca="false">K43+K44/2</f>
        <v>17408</v>
      </c>
      <c r="L45" s="67" t="n">
        <f aca="false">L43+L44/2</f>
        <v>17408</v>
      </c>
      <c r="M45" s="67" t="n">
        <f aca="false">M43+M44/2</f>
        <v>17408</v>
      </c>
      <c r="N45" s="67" t="n">
        <f aca="false">N43+N44/2</f>
        <v>17408</v>
      </c>
      <c r="O45" s="67" t="n">
        <f aca="false">O43+O44/2</f>
        <v>17408</v>
      </c>
      <c r="P45" s="67" t="n">
        <f aca="false">P43+P44/2</f>
        <v>17408</v>
      </c>
      <c r="Q45" s="67" t="n">
        <f aca="false">Q43+Q44/2</f>
        <v>17408</v>
      </c>
      <c r="R45" s="67" t="n">
        <f aca="false">R43+R44/2</f>
        <v>17408</v>
      </c>
      <c r="S45" s="67" t="n">
        <f aca="false">S43+S44/2</f>
        <v>17408</v>
      </c>
      <c r="T45" s="67" t="n">
        <f aca="false">T43+T44/2</f>
        <v>17408</v>
      </c>
      <c r="U45" s="67" t="n">
        <f aca="false">U43+U44/2</f>
        <v>17408</v>
      </c>
      <c r="V45" s="67" t="n">
        <f aca="false">V43+V44/2</f>
        <v>17408</v>
      </c>
      <c r="W45" s="67" t="n">
        <f aca="false">W43+W44/2</f>
        <v>5120</v>
      </c>
      <c r="X45" s="67" t="n">
        <f aca="false">X43+X44/2</f>
        <v>5120</v>
      </c>
      <c r="Y45" s="67" t="n">
        <f aca="false">Y43+Y44/2</f>
        <v>66560</v>
      </c>
      <c r="Z45" s="67" t="n">
        <f aca="false">Z43+Z44/2</f>
        <v>66560</v>
      </c>
      <c r="AA45" s="67" t="n">
        <f aca="false">AA43+AA44/2</f>
        <v>17408</v>
      </c>
      <c r="AB45" s="67" t="n">
        <f aca="false">AB43+AB44/2</f>
        <v>17408</v>
      </c>
      <c r="AC45" s="67" t="n">
        <f aca="false">AC43+AC44/2</f>
        <v>34816</v>
      </c>
      <c r="AD45" s="67" t="n">
        <f aca="false">AD43+AD44/2</f>
        <v>34816</v>
      </c>
      <c r="AE45" s="67" t="n">
        <f aca="false">AE43+AE44/2</f>
        <v>34816</v>
      </c>
      <c r="AF45" s="67" t="n">
        <f aca="false">AF43+AF44/2</f>
        <v>34816</v>
      </c>
      <c r="AG45" s="67" t="n">
        <f aca="false">AG43+AG44/2</f>
        <v>34816</v>
      </c>
      <c r="AH45" s="67" t="n">
        <f aca="false">AH43+AH44/2</f>
        <v>34816</v>
      </c>
    </row>
    <row r="46" customFormat="false" ht="15" hidden="false" customHeight="false" outlineLevel="0" collapsed="false">
      <c r="A46" s="61" t="s">
        <v>380</v>
      </c>
      <c r="B46" s="61" t="s">
        <v>292</v>
      </c>
      <c r="C46" s="67" t="n">
        <f aca="false">C43/2</f>
        <v>8192</v>
      </c>
      <c r="D46" s="67" t="n">
        <f aca="false">D43/2</f>
        <v>8192</v>
      </c>
      <c r="E46" s="67" t="n">
        <f aca="false">E43/2</f>
        <v>8192</v>
      </c>
      <c r="F46" s="67" t="n">
        <f aca="false">F43/2</f>
        <v>8192</v>
      </c>
      <c r="G46" s="67" t="n">
        <f aca="false">G43/2</f>
        <v>8192</v>
      </c>
      <c r="H46" s="67" t="n">
        <f aca="false">H43/2</f>
        <v>8192</v>
      </c>
      <c r="I46" s="67" t="n">
        <f aca="false">I43/2</f>
        <v>8192</v>
      </c>
      <c r="J46" s="67" t="n">
        <f aca="false">J43/2</f>
        <v>8192</v>
      </c>
      <c r="K46" s="67" t="n">
        <f aca="false">K43/2</f>
        <v>8192</v>
      </c>
      <c r="L46" s="67" t="n">
        <f aca="false">L43/2</f>
        <v>8192</v>
      </c>
      <c r="M46" s="67" t="n">
        <f aca="false">M43/2</f>
        <v>8192</v>
      </c>
      <c r="N46" s="67" t="n">
        <f aca="false">N43/2</f>
        <v>8192</v>
      </c>
      <c r="O46" s="67" t="n">
        <f aca="false">O43/2</f>
        <v>8192</v>
      </c>
      <c r="P46" s="67" t="n">
        <f aca="false">P43/2</f>
        <v>8192</v>
      </c>
      <c r="Q46" s="67" t="n">
        <f aca="false">Q43/2</f>
        <v>8192</v>
      </c>
      <c r="R46" s="67" t="n">
        <f aca="false">R43/2</f>
        <v>8192</v>
      </c>
      <c r="S46" s="67" t="n">
        <f aca="false">S43/2</f>
        <v>8192</v>
      </c>
      <c r="T46" s="67" t="n">
        <f aca="false">T43/2</f>
        <v>8192</v>
      </c>
      <c r="U46" s="67" t="n">
        <f aca="false">U43/2</f>
        <v>8192</v>
      </c>
      <c r="V46" s="67" t="n">
        <f aca="false">V43/2</f>
        <v>8192</v>
      </c>
      <c r="W46" s="67" t="n">
        <f aca="false">W43/2</f>
        <v>2048</v>
      </c>
      <c r="X46" s="67" t="n">
        <f aca="false">X43/2</f>
        <v>2048</v>
      </c>
      <c r="Y46" s="67" t="n">
        <f aca="false">Y43/2</f>
        <v>32768</v>
      </c>
      <c r="Z46" s="67" t="n">
        <f aca="false">Z43/2</f>
        <v>32768</v>
      </c>
      <c r="AA46" s="67" t="n">
        <f aca="false">AA43/2</f>
        <v>8192</v>
      </c>
      <c r="AB46" s="67" t="n">
        <f aca="false">AB43/2</f>
        <v>8192</v>
      </c>
      <c r="AC46" s="67" t="n">
        <f aca="false">AC43/2</f>
        <v>16384</v>
      </c>
      <c r="AD46" s="67" t="n">
        <f aca="false">AD43/2</f>
        <v>16384</v>
      </c>
      <c r="AE46" s="67" t="n">
        <f aca="false">AE43/2</f>
        <v>16384</v>
      </c>
      <c r="AF46" s="67" t="n">
        <f aca="false">AF43/2</f>
        <v>16384</v>
      </c>
      <c r="AG46" s="67" t="n">
        <f aca="false">AG43/2</f>
        <v>16384</v>
      </c>
      <c r="AH46" s="67" t="n">
        <f aca="false">AH43/2</f>
        <v>16384</v>
      </c>
    </row>
    <row r="47" customFormat="false" ht="15" hidden="false" customHeight="false" outlineLevel="0" collapsed="false">
      <c r="A47" s="61" t="s">
        <v>751</v>
      </c>
      <c r="B47" s="61" t="s">
        <v>292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  <c r="T47" s="89" t="n">
        <f aca="false">Serving!$C$6</f>
        <v>3</v>
      </c>
      <c r="U47" s="89" t="n">
        <f aca="false">Serving!$C$6</f>
        <v>3</v>
      </c>
      <c r="V47" s="89" t="n">
        <f aca="false">Serving!$C$6</f>
        <v>3</v>
      </c>
      <c r="W47" s="89" t="n">
        <f aca="false">Serving!$C$6</f>
        <v>3</v>
      </c>
      <c r="X47" s="89" t="n">
        <f aca="false">Serving!$C$6</f>
        <v>3</v>
      </c>
      <c r="Y47" s="89" t="n">
        <f aca="false">Serving!$C$6</f>
        <v>3</v>
      </c>
      <c r="Z47" s="89" t="n">
        <f aca="false">Serving!$C$6</f>
        <v>3</v>
      </c>
      <c r="AA47" s="89" t="n">
        <f aca="false">Serving!$C$6</f>
        <v>3</v>
      </c>
      <c r="AB47" s="89" t="n">
        <f aca="false">Serving!$C$6</f>
        <v>3</v>
      </c>
      <c r="AC47" s="89" t="n">
        <f aca="false">Serving!$C$6</f>
        <v>3</v>
      </c>
      <c r="AD47" s="89" t="n">
        <f aca="false">Serving!$C$6</f>
        <v>3</v>
      </c>
      <c r="AE47" s="89" t="n">
        <f aca="false">Serving!$C$6</f>
        <v>3</v>
      </c>
      <c r="AF47" s="89" t="n">
        <f aca="false">Serving!$C$6</f>
        <v>3</v>
      </c>
      <c r="AG47" s="89" t="n">
        <f aca="false">Serving!$C$6</f>
        <v>3</v>
      </c>
      <c r="AH47" s="89" t="n">
        <f aca="false">Serving!$C$6</f>
        <v>3</v>
      </c>
    </row>
    <row r="48" customFormat="false" ht="15" hidden="false" customHeight="false" outlineLevel="0" collapsed="false">
      <c r="A48" s="60" t="s">
        <v>752</v>
      </c>
      <c r="B48" s="61" t="s">
        <v>99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  <c r="R48" s="64" t="n">
        <f aca="false">Serving!$C$7</f>
        <v>0.7</v>
      </c>
      <c r="S48" s="79" t="n">
        <v>0.6</v>
      </c>
      <c r="T48" s="79" t="n">
        <v>0.6</v>
      </c>
      <c r="U48" s="79" t="n">
        <v>0.8</v>
      </c>
      <c r="V48" s="79" t="n">
        <v>0.8</v>
      </c>
      <c r="W48" s="64" t="n">
        <f aca="false">Serving!$C$7</f>
        <v>0.7</v>
      </c>
      <c r="X48" s="64" t="n">
        <f aca="false">Serving!$C$7</f>
        <v>0.7</v>
      </c>
      <c r="Y48" s="64" t="n">
        <f aca="false">Serving!$C$7</f>
        <v>0.7</v>
      </c>
      <c r="Z48" s="64" t="n">
        <f aca="false">Serving!$C$7</f>
        <v>0.7</v>
      </c>
      <c r="AA48" s="64" t="n">
        <f aca="false">Serving!$C$7</f>
        <v>0.7</v>
      </c>
      <c r="AB48" s="64" t="n">
        <f aca="false">Serving!$C$7</f>
        <v>0.7</v>
      </c>
      <c r="AC48" s="64" t="n">
        <f aca="false">Serving!$C$7</f>
        <v>0.7</v>
      </c>
      <c r="AD48" s="64" t="n">
        <f aca="false">Serving!$C$7</f>
        <v>0.7</v>
      </c>
      <c r="AE48" s="64" t="n">
        <f aca="false">Serving!$C$7</f>
        <v>0.7</v>
      </c>
      <c r="AF48" s="64" t="n">
        <f aca="false">Serving!$C$7</f>
        <v>0.7</v>
      </c>
      <c r="AG48" s="64" t="n">
        <f aca="false">Serving!$C$7</f>
        <v>0.7</v>
      </c>
      <c r="AH48" s="64" t="n">
        <f aca="false">Serving!$C$7</f>
        <v>0.7</v>
      </c>
    </row>
    <row r="49" customFormat="false" ht="15" hidden="false" customHeight="false" outlineLevel="0" collapsed="false">
      <c r="A49" s="60" t="s">
        <v>753</v>
      </c>
      <c r="B49" s="61" t="s">
        <v>292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2.176</v>
      </c>
      <c r="T49" s="76" t="n">
        <f aca="false">(1-T48^(T47+1))/(1-T48)</f>
        <v>2.176</v>
      </c>
      <c r="U49" s="76" t="n">
        <f aca="false">(1-U48^(U47+1))/(1-U48)</f>
        <v>2.952</v>
      </c>
      <c r="V49" s="76" t="n">
        <f aca="false">(1-V48^(V47+1))/(1-V48)</f>
        <v>2.952</v>
      </c>
      <c r="W49" s="76" t="n">
        <f aca="false">(1-W48^(W47+1))/(1-W48)</f>
        <v>2.533</v>
      </c>
      <c r="X49" s="76" t="n">
        <f aca="false">(1-X48^(X47+1))/(1-X48)</f>
        <v>2.533</v>
      </c>
      <c r="Y49" s="76" t="n">
        <f aca="false">(1-Y48^(Y47+1))/(1-Y48)</f>
        <v>2.533</v>
      </c>
      <c r="Z49" s="76" t="n">
        <f aca="false">(1-Z48^(Z47+1))/(1-Z48)</f>
        <v>2.533</v>
      </c>
      <c r="AA49" s="76" t="n">
        <f aca="false">(1-AA48^(AA47+1))/(1-AA48)</f>
        <v>2.533</v>
      </c>
      <c r="AB49" s="76" t="n">
        <f aca="false">(1-AB48^(AB47+1))/(1-AB48)</f>
        <v>2.533</v>
      </c>
      <c r="AC49" s="76" t="n">
        <f aca="false">(1-AC48^(AC47+1))/(1-AC48)</f>
        <v>2.533</v>
      </c>
      <c r="AD49" s="76" t="n">
        <f aca="false">(1-AD48^(AD47+1))/(1-AD48)</f>
        <v>2.533</v>
      </c>
      <c r="AE49" s="76" t="n">
        <f aca="false">(1-AE48^(AE47+1))/(1-AE48)</f>
        <v>2.533</v>
      </c>
      <c r="AF49" s="76" t="n">
        <f aca="false">(1-AF48^(AF47+1))/(1-AF48)</f>
        <v>2.533</v>
      </c>
      <c r="AG49" s="76" t="n">
        <f aca="false">(1-AG48^(AG47+1))/(1-AG48)</f>
        <v>2.533</v>
      </c>
      <c r="AH49" s="76" t="n">
        <f aca="false">(1-AH48^(AH47+1))/(1-AH48)</f>
        <v>2.533</v>
      </c>
    </row>
    <row r="50" customFormat="false" ht="15" hidden="false" customHeight="false" outlineLevel="0" collapsed="false">
      <c r="A50" s="60" t="s">
        <v>367</v>
      </c>
      <c r="B50" s="61" t="s">
        <v>103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0" t="n">
        <v>0.7</v>
      </c>
      <c r="AB50" s="80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1" t="s">
        <v>754</v>
      </c>
      <c r="B51" s="61" t="s">
        <v>99</v>
      </c>
      <c r="C51" s="109" t="n">
        <f aca="false">INDEX(Calib!$C$72:$G$72,C$6)*C50</f>
        <v>0.3</v>
      </c>
      <c r="D51" s="109" t="n">
        <f aca="false">INDEX(Calib!$C$72:$G$72,D$6)*D50</f>
        <v>0.3</v>
      </c>
      <c r="E51" s="109" t="n">
        <f aca="false">INDEX(Calib!$C$72:$G$72,E$6)*E50</f>
        <v>0.3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  <c r="R51" s="109" t="n">
        <f aca="false">INDEX(Calib!$C$72:$G$72,R$6)*R50</f>
        <v>0.3</v>
      </c>
      <c r="S51" s="109" t="n">
        <f aca="false">INDEX(Calib!$C$72:$G$72,S$6)*S50</f>
        <v>0.3</v>
      </c>
      <c r="T51" s="109" t="n">
        <f aca="false">INDEX(Calib!$C$72:$G$72,T$6)*T50</f>
        <v>0.3</v>
      </c>
      <c r="U51" s="109" t="n">
        <f aca="false">INDEX(Calib!$C$72:$G$72,U$6)*U50</f>
        <v>0.3</v>
      </c>
      <c r="V51" s="109" t="n">
        <f aca="false">INDEX(Calib!$C$72:$G$72,V$6)*V50</f>
        <v>0.3</v>
      </c>
      <c r="W51" s="109" t="n">
        <f aca="false">INDEX(Calib!$C$72:$G$72,W$6)*W50</f>
        <v>0.3</v>
      </c>
      <c r="X51" s="109" t="n">
        <f aca="false">INDEX(Calib!$C$72:$G$72,X$6)*X50</f>
        <v>0.3</v>
      </c>
      <c r="Y51" s="109" t="n">
        <f aca="false">INDEX(Calib!$C$72:$G$72,Y$6)*Y50</f>
        <v>0.3</v>
      </c>
      <c r="Z51" s="109" t="n">
        <f aca="false">INDEX(Calib!$C$72:$G$72,Z$6)*Z50</f>
        <v>0.3</v>
      </c>
      <c r="AA51" s="109" t="n">
        <f aca="false">INDEX(Calib!$C$72:$G$72,AA$6)*AA50</f>
        <v>0.21</v>
      </c>
      <c r="AB51" s="109" t="n">
        <f aca="false">INDEX(Calib!$C$72:$G$72,AB$6)*AB50</f>
        <v>0.21</v>
      </c>
      <c r="AC51" s="109" t="n">
        <f aca="false">INDEX(Calib!$C$72:$G$72,AC$6)*AC50</f>
        <v>0.3</v>
      </c>
      <c r="AD51" s="109" t="n">
        <f aca="false">INDEX(Calib!$C$72:$G$72,AD$6)*AD50</f>
        <v>0.3</v>
      </c>
      <c r="AE51" s="109" t="n">
        <f aca="false">INDEX(Calib!$C$72:$G$72,AE$6)*AE50</f>
        <v>0.3</v>
      </c>
      <c r="AF51" s="109" t="n">
        <f aca="false">INDEX(Calib!$C$72:$G$72,AF$6)*AF50</f>
        <v>0.3</v>
      </c>
      <c r="AG51" s="109" t="n">
        <f aca="false">INDEX(Calib!$C$72:$G$72,AG$6)*AG50</f>
        <v>0.3</v>
      </c>
      <c r="AH51" s="109" t="n">
        <f aca="false">INDEX(Calib!$C$72:$G$72,AH$6)*AH50</f>
        <v>0.3</v>
      </c>
    </row>
    <row r="52" customFormat="false" ht="15" hidden="false" customHeight="false" outlineLevel="0" collapsed="false">
      <c r="A52" s="61" t="s">
        <v>755</v>
      </c>
      <c r="B52" s="61" t="s">
        <v>103</v>
      </c>
      <c r="C52" s="97" t="n">
        <f aca="false">Tech_Registry!$E$20</f>
        <v>1</v>
      </c>
      <c r="D52" s="97" t="n">
        <f aca="false">Tech_Registry!$E$20</f>
        <v>1</v>
      </c>
      <c r="E52" s="80" t="n">
        <v>0.5</v>
      </c>
      <c r="F52" s="97" t="n">
        <f aca="false">Tech_Registry!$E$20</f>
        <v>1</v>
      </c>
      <c r="G52" s="80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1" t="s">
        <v>756</v>
      </c>
      <c r="B53" s="61" t="s">
        <v>99</v>
      </c>
      <c r="C53" s="110" t="n">
        <f aca="false">INDEX(Calib!$C$70:$G$70,C$6)*C52*C50</f>
        <v>0.0357550334998836</v>
      </c>
      <c r="D53" s="110" t="n">
        <f aca="false">INDEX(Calib!$C$70:$G$70,D$6)*D52*D50</f>
        <v>0.0357550334998836</v>
      </c>
      <c r="E53" s="110" t="n">
        <f aca="false">INDEX(Calib!$C$70:$G$70,E$6)*E52*E50</f>
        <v>0.0178775167499418</v>
      </c>
      <c r="F53" s="110" t="n">
        <f aca="false">INDEX(Calib!$C$70:$G$70,F$6)*F52*F50</f>
        <v>0.0357550334998836</v>
      </c>
      <c r="G53" s="110" t="n">
        <f aca="false">INDEX(Calib!$C$70:$G$70,G$6)*G52*G50</f>
        <v>0.0536325502498254</v>
      </c>
      <c r="H53" s="110" t="n">
        <f aca="false">INDEX(Calib!$C$70:$G$70,H$6)*H52*H50</f>
        <v>0.0357550334998836</v>
      </c>
      <c r="I53" s="110" t="n">
        <f aca="false">INDEX(Calib!$C$70:$G$70,I$6)*I52*I50</f>
        <v>0.0357550334998836</v>
      </c>
      <c r="J53" s="110" t="n">
        <f aca="false">INDEX(Calib!$C$70:$G$70,J$6)*J52*J50</f>
        <v>0.0357550334998836</v>
      </c>
      <c r="K53" s="110" t="n">
        <f aca="false">INDEX(Calib!$C$70:$G$70,K$6)*K52*K50</f>
        <v>0.0357550334998836</v>
      </c>
      <c r="L53" s="110" t="n">
        <f aca="false">INDEX(Calib!$C$70:$G$70,L$6)*L52*L50</f>
        <v>0.0357550334998836</v>
      </c>
      <c r="M53" s="110" t="n">
        <f aca="false">INDEX(Calib!$C$70:$G$70,M$6)*M52*M50</f>
        <v>0.0357550334998836</v>
      </c>
      <c r="N53" s="110" t="n">
        <f aca="false">INDEX(Calib!$C$70:$G$70,N$6)*N52*N50</f>
        <v>0.0357550334998836</v>
      </c>
      <c r="O53" s="110" t="n">
        <f aca="false">INDEX(Calib!$C$70:$G$70,O$6)*O52*O50</f>
        <v>0.0357550334998836</v>
      </c>
      <c r="P53" s="110" t="n">
        <f aca="false">INDEX(Calib!$C$70:$G$70,P$6)*P52*P50</f>
        <v>0.0357550334998836</v>
      </c>
      <c r="Q53" s="110" t="n">
        <f aca="false">INDEX(Calib!$C$70:$G$70,Q$6)*Q52*Q50</f>
        <v>0.0357550334998836</v>
      </c>
      <c r="R53" s="110" t="n">
        <f aca="false">INDEX(Calib!$C$70:$G$70,R$6)*R52*R50</f>
        <v>0.0357550334998836</v>
      </c>
      <c r="S53" s="110" t="n">
        <f aca="false">INDEX(Calib!$C$70:$G$70,S$6)*S52*S50</f>
        <v>0.0357550334998836</v>
      </c>
      <c r="T53" s="110" t="n">
        <f aca="false">INDEX(Calib!$C$70:$G$70,T$6)*T52*T50</f>
        <v>0.0357550334998836</v>
      </c>
      <c r="U53" s="110" t="n">
        <f aca="false">INDEX(Calib!$C$70:$G$70,U$6)*U52*U50</f>
        <v>0.0357550334998836</v>
      </c>
      <c r="V53" s="110" t="n">
        <f aca="false">INDEX(Calib!$C$70:$G$70,V$6)*V52*V50</f>
        <v>0.0357550334998836</v>
      </c>
      <c r="W53" s="110" t="n">
        <f aca="false">INDEX(Calib!$C$70:$G$70,W$6)*W52*W50</f>
        <v>0.0357550334998836</v>
      </c>
      <c r="X53" s="110" t="n">
        <f aca="false">INDEX(Calib!$C$70:$G$70,X$6)*X52*X50</f>
        <v>0.0357550334998836</v>
      </c>
      <c r="Y53" s="110" t="n">
        <f aca="false">INDEX(Calib!$C$70:$G$70,Y$6)*Y52*Y50</f>
        <v>0.0357550334998836</v>
      </c>
      <c r="Z53" s="110" t="n">
        <f aca="false">INDEX(Calib!$C$70:$G$70,Z$6)*Z52*Z50</f>
        <v>0.0357550334998836</v>
      </c>
      <c r="AA53" s="110" t="n">
        <f aca="false">INDEX(Calib!$C$70:$G$70,AA$6)*AA52*AA50</f>
        <v>0.0250285234499185</v>
      </c>
      <c r="AB53" s="110" t="n">
        <f aca="false">INDEX(Calib!$C$70:$G$70,AB$6)*AB52*AB50</f>
        <v>0.0250285234499185</v>
      </c>
      <c r="AC53" s="110" t="n">
        <f aca="false">INDEX(Calib!$C$70:$G$70,AC$6)*AC52*AC50</f>
        <v>0.0357550334998836</v>
      </c>
      <c r="AD53" s="110" t="n">
        <f aca="false">INDEX(Calib!$C$70:$G$70,AD$6)*AD52*AD50</f>
        <v>0.0357550334998836</v>
      </c>
      <c r="AE53" s="110" t="n">
        <f aca="false">INDEX(Calib!$C$70:$G$70,AE$6)*AE52*AE50</f>
        <v>0.0357550334998836</v>
      </c>
      <c r="AF53" s="110" t="n">
        <f aca="false">INDEX(Calib!$C$70:$G$70,AF$6)*AF52*AF50</f>
        <v>0.0357550334998836</v>
      </c>
      <c r="AG53" s="110" t="n">
        <f aca="false">INDEX(Calib!$C$70:$G$70,AG$6)*AG52*AG50</f>
        <v>0.0357550334998836</v>
      </c>
      <c r="AH53" s="110" t="n">
        <f aca="false">INDEX(Calib!$C$70:$G$70,AH$6)*AH52*AH50</f>
        <v>0.0357550334998836</v>
      </c>
    </row>
    <row r="54" customFormat="false" ht="15" hidden="false" customHeight="false" outlineLevel="0" collapsed="false">
      <c r="A54" s="60" t="s">
        <v>757</v>
      </c>
      <c r="B54" s="61" t="s">
        <v>103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0" t="n">
        <v>0.7</v>
      </c>
      <c r="J54" s="97" t="n">
        <f aca="false">Tech_Registry!$E$21</f>
        <v>1</v>
      </c>
      <c r="K54" s="80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0" t="s">
        <v>758</v>
      </c>
      <c r="B55" s="61" t="s">
        <v>514</v>
      </c>
      <c r="C55" s="62" t="n">
        <f aca="false">INDEX(Calib!$C$71:$G$71,C$6)*C54/C50</f>
        <v>161.185338133698</v>
      </c>
      <c r="D55" s="62" t="n">
        <f aca="false">INDEX(Calib!$C$71:$G$71,D$6)*D54/D50</f>
        <v>161.185338133698</v>
      </c>
      <c r="E55" s="62" t="n">
        <f aca="false">INDEX(Calib!$C$71:$G$71,E$6)*E54/E50</f>
        <v>161.185338133698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112.829736693588</v>
      </c>
      <c r="J55" s="62" t="n">
        <f aca="false">INDEX(Calib!$C$71:$G$71,J$6)*J54/J50</f>
        <v>161.185338133698</v>
      </c>
      <c r="K55" s="62" t="n">
        <f aca="false">INDEX(Calib!$C$71:$G$71,K$6)*K54/K50</f>
        <v>241.778007200547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  <c r="R55" s="62" t="n">
        <f aca="false">INDEX(Calib!$C$71:$G$71,R$6)*R54/R50</f>
        <v>161.185338133698</v>
      </c>
      <c r="S55" s="62" t="n">
        <f aca="false">INDEX(Calib!$C$71:$G$71,S$6)*S54/S50</f>
        <v>161.185338133698</v>
      </c>
      <c r="T55" s="62" t="n">
        <f aca="false">INDEX(Calib!$C$71:$G$71,T$6)*T54/T50</f>
        <v>161.185338133698</v>
      </c>
      <c r="U55" s="62" t="n">
        <f aca="false">INDEX(Calib!$C$71:$G$71,U$6)*U54/U50</f>
        <v>161.185338133698</v>
      </c>
      <c r="V55" s="62" t="n">
        <f aca="false">INDEX(Calib!$C$71:$G$71,V$6)*V54/V50</f>
        <v>161.185338133698</v>
      </c>
      <c r="W55" s="62" t="n">
        <f aca="false">INDEX(Calib!$C$71:$G$71,W$6)*W54/W50</f>
        <v>161.185338133698</v>
      </c>
      <c r="X55" s="62" t="n">
        <f aca="false">INDEX(Calib!$C$71:$G$71,X$6)*X54/X50</f>
        <v>161.185338133698</v>
      </c>
      <c r="Y55" s="62" t="n">
        <f aca="false">INDEX(Calib!$C$71:$G$71,Y$6)*Y54/Y50</f>
        <v>161.185338133698</v>
      </c>
      <c r="Z55" s="62" t="n">
        <f aca="false">INDEX(Calib!$C$71:$G$71,Z$6)*Z54/Z50</f>
        <v>161.185338133698</v>
      </c>
      <c r="AA55" s="62" t="n">
        <f aca="false">INDEX(Calib!$C$71:$G$71,AA$6)*AA54/AA50</f>
        <v>230.264768762425</v>
      </c>
      <c r="AB55" s="62" t="n">
        <f aca="false">INDEX(Calib!$C$71:$G$71,AB$6)*AB54/AB50</f>
        <v>230.264768762425</v>
      </c>
      <c r="AC55" s="62" t="n">
        <f aca="false">INDEX(Calib!$C$71:$G$71,AC$6)*AC54/AC50</f>
        <v>161.185338133698</v>
      </c>
      <c r="AD55" s="62" t="n">
        <f aca="false">INDEX(Calib!$C$71:$G$71,AD$6)*AD54/AD50</f>
        <v>161.185338133698</v>
      </c>
      <c r="AE55" s="62" t="n">
        <f aca="false">INDEX(Calib!$C$71:$G$71,AE$6)*AE54/AE50</f>
        <v>161.185338133698</v>
      </c>
      <c r="AF55" s="62" t="n">
        <f aca="false">INDEX(Calib!$C$71:$G$71,AF$6)*AF54/AF50</f>
        <v>161.185338133698</v>
      </c>
      <c r="AG55" s="62" t="n">
        <f aca="false">INDEX(Calib!$C$71:$G$71,AG$6)*AG54/AG50</f>
        <v>161.185338133698</v>
      </c>
      <c r="AH55" s="62" t="n">
        <f aca="false">INDEX(Calib!$C$71:$G$71,AH$6)*AH54/AH50</f>
        <v>161.185338133698</v>
      </c>
    </row>
    <row r="56" customFormat="false" ht="15" hidden="false" customHeight="false" outlineLevel="0" collapsed="false">
      <c r="A56" s="61" t="s">
        <v>759</v>
      </c>
      <c r="B56" s="61" t="s">
        <v>99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  <c r="R56" s="64" t="n">
        <f aca="false">Serving!$C$9</f>
        <v>0.1</v>
      </c>
      <c r="S56" s="64" t="n">
        <f aca="false">Serving!$C$9</f>
        <v>0.1</v>
      </c>
      <c r="T56" s="64" t="n">
        <f aca="false">Serving!$C$9</f>
        <v>0.1</v>
      </c>
      <c r="U56" s="64" t="n">
        <f aca="false">Serving!$C$9</f>
        <v>0.1</v>
      </c>
      <c r="V56" s="64" t="n">
        <f aca="false">Serving!$C$9</f>
        <v>0.1</v>
      </c>
      <c r="W56" s="64" t="n">
        <f aca="false">Serving!$C$9</f>
        <v>0.1</v>
      </c>
      <c r="X56" s="64" t="n">
        <f aca="false">Serving!$C$9</f>
        <v>0.1</v>
      </c>
      <c r="Y56" s="64" t="n">
        <f aca="false">Serving!$C$9</f>
        <v>0.1</v>
      </c>
      <c r="Z56" s="64" t="n">
        <f aca="false">Serving!$C$9</f>
        <v>0.1</v>
      </c>
      <c r="AA56" s="64" t="n">
        <f aca="false">Serving!$C$9</f>
        <v>0.1</v>
      </c>
      <c r="AB56" s="64" t="n">
        <f aca="false">Serving!$C$9</f>
        <v>0.1</v>
      </c>
      <c r="AC56" s="64" t="n">
        <f aca="false">Serving!$C$9</f>
        <v>0.1</v>
      </c>
      <c r="AD56" s="64" t="n">
        <f aca="false">Serving!$C$9</f>
        <v>0.1</v>
      </c>
      <c r="AE56" s="64" t="n">
        <f aca="false">Serving!$C$9</f>
        <v>0.1</v>
      </c>
      <c r="AF56" s="64" t="n">
        <f aca="false">Serving!$C$9</f>
        <v>0.1</v>
      </c>
      <c r="AG56" s="64" t="n">
        <f aca="false">Serving!$C$9</f>
        <v>0.1</v>
      </c>
      <c r="AH56" s="64" t="n">
        <f aca="false">Serving!$C$9</f>
        <v>0.1</v>
      </c>
    </row>
    <row r="57" customFormat="false" ht="15" hidden="false" customHeight="false" outlineLevel="0" collapsed="false">
      <c r="A57" s="60" t="s">
        <v>760</v>
      </c>
      <c r="B57" s="61" t="s">
        <v>99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  <c r="R57" s="64" t="n">
        <f aca="false">Serving!$C$10</f>
        <v>0.2</v>
      </c>
      <c r="S57" s="64" t="n">
        <f aca="false">Serving!$C$10</f>
        <v>0.2</v>
      </c>
      <c r="T57" s="64" t="n">
        <f aca="false">Serving!$C$10</f>
        <v>0.2</v>
      </c>
      <c r="U57" s="64" t="n">
        <f aca="false">Serving!$C$10</f>
        <v>0.2</v>
      </c>
      <c r="V57" s="64" t="n">
        <f aca="false">Serving!$C$10</f>
        <v>0.2</v>
      </c>
      <c r="W57" s="64" t="n">
        <f aca="false">Serving!$C$10</f>
        <v>0.2</v>
      </c>
      <c r="X57" s="64" t="n">
        <f aca="false">Serving!$C$10</f>
        <v>0.2</v>
      </c>
      <c r="Y57" s="64" t="n">
        <f aca="false">Serving!$C$10</f>
        <v>0.2</v>
      </c>
      <c r="Z57" s="64" t="n">
        <f aca="false">Serving!$C$10</f>
        <v>0.2</v>
      </c>
      <c r="AA57" s="64" t="n">
        <f aca="false">Serving!$C$10</f>
        <v>0.2</v>
      </c>
      <c r="AB57" s="64" t="n">
        <f aca="false">Serving!$C$10</f>
        <v>0.2</v>
      </c>
      <c r="AC57" s="64" t="n">
        <f aca="false">Serving!$C$10</f>
        <v>0.2</v>
      </c>
      <c r="AD57" s="64" t="n">
        <f aca="false">Serving!$C$10</f>
        <v>0.2</v>
      </c>
      <c r="AE57" s="64" t="n">
        <f aca="false">Serving!$C$10</f>
        <v>0.2</v>
      </c>
      <c r="AF57" s="64" t="n">
        <f aca="false">Serving!$C$10</f>
        <v>0.2</v>
      </c>
      <c r="AG57" s="64" t="n">
        <f aca="false">Serving!$C$10</f>
        <v>0.2</v>
      </c>
      <c r="AH57" s="64" t="n">
        <f aca="false">Serving!$C$10</f>
        <v>0.2</v>
      </c>
    </row>
    <row r="58" customFormat="false" ht="15" hidden="false" customHeight="false" outlineLevel="0" collapsed="false">
      <c r="A58" s="60" t="s">
        <v>761</v>
      </c>
      <c r="B58" s="61" t="s">
        <v>99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  <c r="R58" s="64" t="n">
        <f aca="false">Serving!$C$11</f>
        <v>0.4</v>
      </c>
      <c r="S58" s="64" t="n">
        <f aca="false">Serving!$C$11</f>
        <v>0.4</v>
      </c>
      <c r="T58" s="64" t="n">
        <f aca="false">Serving!$C$11</f>
        <v>0.4</v>
      </c>
      <c r="U58" s="64" t="n">
        <f aca="false">Serving!$C$11</f>
        <v>0.4</v>
      </c>
      <c r="V58" s="64" t="n">
        <f aca="false">Serving!$C$11</f>
        <v>0.4</v>
      </c>
      <c r="W58" s="64" t="n">
        <f aca="false">Serving!$C$11</f>
        <v>0.4</v>
      </c>
      <c r="X58" s="64" t="n">
        <f aca="false">Serving!$C$11</f>
        <v>0.4</v>
      </c>
      <c r="Y58" s="64" t="n">
        <f aca="false">Serving!$C$11</f>
        <v>0.4</v>
      </c>
      <c r="Z58" s="64" t="n">
        <f aca="false">Serving!$C$11</f>
        <v>0.4</v>
      </c>
      <c r="AA58" s="64" t="n">
        <f aca="false">Serving!$C$11</f>
        <v>0.4</v>
      </c>
      <c r="AB58" s="64" t="n">
        <f aca="false">Serving!$C$11</f>
        <v>0.4</v>
      </c>
      <c r="AC58" s="64" t="n">
        <f aca="false">Serving!$C$11</f>
        <v>0.4</v>
      </c>
      <c r="AD58" s="64" t="n">
        <f aca="false">Serving!$C$11</f>
        <v>0.4</v>
      </c>
      <c r="AE58" s="64" t="n">
        <f aca="false">Serving!$C$11</f>
        <v>0.4</v>
      </c>
      <c r="AF58" s="64" t="n">
        <f aca="false">Serving!$C$11</f>
        <v>0.4</v>
      </c>
      <c r="AG58" s="64" t="n">
        <f aca="false">Serving!$C$11</f>
        <v>0.4</v>
      </c>
      <c r="AH58" s="64" t="n">
        <f aca="false">Serving!$C$11</f>
        <v>0.4</v>
      </c>
    </row>
    <row r="59" customFormat="false" ht="15" hidden="false" customHeight="false" outlineLevel="0" collapsed="false">
      <c r="A59" s="61" t="s">
        <v>762</v>
      </c>
      <c r="B59" s="61" t="s">
        <v>271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  <c r="R59" s="108" t="n">
        <f aca="false">Serving!$C$12</f>
        <v>3</v>
      </c>
      <c r="S59" s="108" t="n">
        <f aca="false">Serving!$C$12</f>
        <v>3</v>
      </c>
      <c r="T59" s="108" t="n">
        <f aca="false">Serving!$C$12</f>
        <v>3</v>
      </c>
      <c r="U59" s="108" t="n">
        <f aca="false">Serving!$C$12</f>
        <v>3</v>
      </c>
      <c r="V59" s="108" t="n">
        <f aca="false">Serving!$C$12</f>
        <v>3</v>
      </c>
      <c r="W59" s="108" t="n">
        <f aca="false">Serving!$C$12</f>
        <v>3</v>
      </c>
      <c r="X59" s="108" t="n">
        <f aca="false">Serving!$C$12</f>
        <v>3</v>
      </c>
      <c r="Y59" s="108" t="n">
        <f aca="false">Serving!$C$12</f>
        <v>3</v>
      </c>
      <c r="Z59" s="108" t="n">
        <f aca="false">Serving!$C$12</f>
        <v>3</v>
      </c>
      <c r="AA59" s="108" t="n">
        <f aca="false">Serving!$C$12</f>
        <v>3</v>
      </c>
      <c r="AB59" s="108" t="n">
        <f aca="false">Serving!$C$12</f>
        <v>3</v>
      </c>
      <c r="AC59" s="108" t="n">
        <f aca="false">Serving!$C$12</f>
        <v>3</v>
      </c>
      <c r="AD59" s="108" t="n">
        <f aca="false">Serving!$C$12</f>
        <v>3</v>
      </c>
      <c r="AE59" s="108" t="n">
        <f aca="false">Serving!$C$12</f>
        <v>3</v>
      </c>
      <c r="AF59" s="108" t="n">
        <f aca="false">Serving!$C$12</f>
        <v>3</v>
      </c>
      <c r="AG59" s="108" t="n">
        <f aca="false">Serving!$C$12</f>
        <v>3</v>
      </c>
      <c r="AH59" s="108" t="n">
        <f aca="false">Serving!$C$12</f>
        <v>3</v>
      </c>
    </row>
    <row r="60" customFormat="false" ht="15" hidden="false" customHeight="false" outlineLevel="0" collapsed="false">
      <c r="A60" s="61" t="s">
        <v>763</v>
      </c>
      <c r="B60" s="61" t="s">
        <v>99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  <c r="R60" s="64" t="n">
        <f aca="false">Serving!$C$13</f>
        <v>0.7</v>
      </c>
      <c r="S60" s="64" t="n">
        <f aca="false">Serving!$C$13</f>
        <v>0.7</v>
      </c>
      <c r="T60" s="64" t="n">
        <f aca="false">Serving!$C$13</f>
        <v>0.7</v>
      </c>
      <c r="U60" s="64" t="n">
        <f aca="false">Serving!$C$13</f>
        <v>0.7</v>
      </c>
      <c r="V60" s="64" t="n">
        <f aca="false">Serving!$C$13</f>
        <v>0.7</v>
      </c>
      <c r="W60" s="64" t="n">
        <f aca="false">Serving!$C$13</f>
        <v>0.7</v>
      </c>
      <c r="X60" s="64" t="n">
        <f aca="false">Serving!$C$13</f>
        <v>0.7</v>
      </c>
      <c r="Y60" s="64" t="n">
        <f aca="false">Serving!$C$13</f>
        <v>0.7</v>
      </c>
      <c r="Z60" s="64" t="n">
        <f aca="false">Serving!$C$13</f>
        <v>0.7</v>
      </c>
      <c r="AA60" s="64" t="n">
        <f aca="false">Serving!$C$13</f>
        <v>0.7</v>
      </c>
      <c r="AB60" s="64" t="n">
        <f aca="false">Serving!$C$13</f>
        <v>0.7</v>
      </c>
      <c r="AC60" s="64" t="n">
        <f aca="false">Serving!$C$13</f>
        <v>0.7</v>
      </c>
      <c r="AD60" s="64" t="n">
        <f aca="false">Serving!$C$13</f>
        <v>0.7</v>
      </c>
      <c r="AE60" s="64" t="n">
        <f aca="false">Serving!$C$13</f>
        <v>0.7</v>
      </c>
      <c r="AF60" s="64" t="n">
        <f aca="false">Serving!$C$13</f>
        <v>0.7</v>
      </c>
      <c r="AG60" s="64" t="n">
        <f aca="false">Serving!$C$13</f>
        <v>0.7</v>
      </c>
      <c r="AH60" s="64" t="n">
        <f aca="false">Serving!$C$13</f>
        <v>0.7</v>
      </c>
    </row>
    <row r="61" customFormat="false" ht="15" hidden="false" customHeight="false" outlineLevel="0" collapsed="false">
      <c r="A61" s="61" t="s">
        <v>764</v>
      </c>
      <c r="B61" s="61" t="s">
        <v>99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  <c r="R61" s="64" t="n">
        <f aca="false">Serving!$C$14</f>
        <v>0.7</v>
      </c>
      <c r="S61" s="64" t="n">
        <f aca="false">Serving!$C$14</f>
        <v>0.7</v>
      </c>
      <c r="T61" s="64" t="n">
        <f aca="false">Serving!$C$14</f>
        <v>0.7</v>
      </c>
      <c r="U61" s="64" t="n">
        <f aca="false">Serving!$C$14</f>
        <v>0.7</v>
      </c>
      <c r="V61" s="64" t="n">
        <f aca="false">Serving!$C$14</f>
        <v>0.7</v>
      </c>
      <c r="W61" s="64" t="n">
        <f aca="false">Serving!$C$14</f>
        <v>0.7</v>
      </c>
      <c r="X61" s="64" t="n">
        <f aca="false">Serving!$C$14</f>
        <v>0.7</v>
      </c>
      <c r="Y61" s="64" t="n">
        <f aca="false">Serving!$C$14</f>
        <v>0.7</v>
      </c>
      <c r="Z61" s="64" t="n">
        <f aca="false">Serving!$C$14</f>
        <v>0.7</v>
      </c>
      <c r="AA61" s="64" t="n">
        <f aca="false">Serving!$C$14</f>
        <v>0.7</v>
      </c>
      <c r="AB61" s="64" t="n">
        <f aca="false">Serving!$C$14</f>
        <v>0.7</v>
      </c>
      <c r="AC61" s="64" t="n">
        <f aca="false">Serving!$C$14</f>
        <v>0.7</v>
      </c>
      <c r="AD61" s="64" t="n">
        <f aca="false">Serving!$C$14</f>
        <v>0.7</v>
      </c>
      <c r="AE61" s="64" t="n">
        <f aca="false">Serving!$C$14</f>
        <v>0.7</v>
      </c>
      <c r="AF61" s="64" t="n">
        <f aca="false">Serving!$C$14</f>
        <v>0.7</v>
      </c>
      <c r="AG61" s="64" t="n">
        <f aca="false">Serving!$C$14</f>
        <v>0.7</v>
      </c>
      <c r="AH61" s="64" t="n">
        <f aca="false">Serving!$C$14</f>
        <v>0.7</v>
      </c>
    </row>
    <row r="62" customFormat="false" ht="15" hidden="false" customHeight="false" outlineLevel="0" collapsed="false">
      <c r="A62" s="60" t="s">
        <v>765</v>
      </c>
      <c r="B62" s="61" t="s">
        <v>479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5" t="s">
        <v>766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</row>
    <row r="64" customFormat="false" ht="15" hidden="false" customHeight="false" outlineLevel="0" collapsed="false">
      <c r="A64" s="61" t="s">
        <v>767</v>
      </c>
      <c r="B64" s="61" t="s">
        <v>292</v>
      </c>
      <c r="C64" s="67" t="n">
        <f aca="false">C36*IF(C37=0,C45,MIN(C45,C37))+(1-C36)*(C45/C38+C39)</f>
        <v>2212.32</v>
      </c>
      <c r="D64" s="67" t="n">
        <f aca="false">D36*IF(D37=0,D45,MIN(D45,D37))+(1-D36)*(D45/D38+D39)</f>
        <v>2212.32</v>
      </c>
      <c r="E64" s="67" t="n">
        <f aca="false">E36*IF(E37=0,E45,MIN(E45,E37))+(1-E36)*(E45/E38+E39)</f>
        <v>2212.32</v>
      </c>
      <c r="F64" s="67" t="n">
        <f aca="false">F36*IF(F37=0,F45,MIN(F45,F37))+(1-F36)*(F45/F38+F39)</f>
        <v>2212.32</v>
      </c>
      <c r="G64" s="67" t="n">
        <f aca="false">G36*IF(G37=0,G45,MIN(G45,G37))+(1-G36)*(G45/G38+G39)</f>
        <v>2212.32</v>
      </c>
      <c r="H64" s="67" t="n">
        <f aca="false">H36*IF(H37=0,H45,MIN(H45,H37))+(1-H36)*(H45/H38+H39)</f>
        <v>2212.32</v>
      </c>
      <c r="I64" s="67" t="n">
        <f aca="false">I36*IF(I37=0,I45,MIN(I45,I37))+(1-I36)*(I45/I38+I39)</f>
        <v>2212.32</v>
      </c>
      <c r="J64" s="67" t="n">
        <f aca="false">J36*IF(J37=0,J45,MIN(J45,J37))+(1-J36)*(J45/J38+J39)</f>
        <v>2212.32</v>
      </c>
      <c r="K64" s="67" t="n">
        <f aca="false">K36*IF(K37=0,K45,MIN(K45,K37))+(1-K36)*(K45/K38+K39)</f>
        <v>2212.32</v>
      </c>
      <c r="L64" s="67" t="n">
        <f aca="false">L36*IF(L37=0,L45,MIN(L45,L37))+(1-L36)*(L45/L38+L39)</f>
        <v>2212.32</v>
      </c>
      <c r="M64" s="67" t="n">
        <f aca="false">M36*IF(M37=0,M45,MIN(M45,M37))+(1-M36)*(M45/M38+M39)</f>
        <v>2212.32</v>
      </c>
      <c r="N64" s="67" t="n">
        <f aca="false">N36*IF(N37=0,N45,MIN(N45,N37))+(1-N36)*(N45/N38+N39)</f>
        <v>2212.32</v>
      </c>
      <c r="O64" s="67" t="n">
        <f aca="false">O36*IF(O37=0,O45,MIN(O45,O37))+(1-O36)*(O45/O38+O39)</f>
        <v>2212.32</v>
      </c>
      <c r="P64" s="67" t="n">
        <f aca="false">P36*IF(P37=0,P45,MIN(P45,P37))+(1-P36)*(P45/P38+P39)</f>
        <v>2212.32</v>
      </c>
      <c r="Q64" s="67" t="n">
        <f aca="false">Q36*IF(Q37=0,Q45,MIN(Q45,Q37))+(1-Q36)*(Q45/Q38+Q39)</f>
        <v>2212.32</v>
      </c>
      <c r="R64" s="67" t="n">
        <f aca="false">R36*IF(R37=0,R45,MIN(R45,R37))+(1-R36)*(R45/R38+R39)</f>
        <v>2212.32</v>
      </c>
      <c r="S64" s="67" t="n">
        <f aca="false">S36*IF(S37=0,S45,MIN(S45,S37))+(1-S36)*(S45/S38+S39)</f>
        <v>2212.32</v>
      </c>
      <c r="T64" s="67" t="n">
        <f aca="false">T36*IF(T37=0,T45,MIN(T45,T37))+(1-T36)*(T45/T38+T39)</f>
        <v>2212.32</v>
      </c>
      <c r="U64" s="67" t="n">
        <f aca="false">U36*IF(U37=0,U45,MIN(U45,U37))+(1-U36)*(U45/U38+U39)</f>
        <v>2212.32</v>
      </c>
      <c r="V64" s="67" t="n">
        <f aca="false">V36*IF(V37=0,V45,MIN(V45,V37))+(1-V36)*(V45/V38+V39)</f>
        <v>2212.32</v>
      </c>
      <c r="W64" s="67" t="n">
        <f aca="false">W36*IF(W37=0,W45,MIN(W45,W37))+(1-W36)*(W45/W38+W39)</f>
        <v>2163.552</v>
      </c>
      <c r="X64" s="67" t="n">
        <f aca="false">X36*IF(X37=0,X45,MIN(X45,X37))+(1-X36)*(X45/X38+X39)</f>
        <v>2163.552</v>
      </c>
      <c r="Y64" s="67" t="n">
        <f aca="false">Y36*IF(Y37=0,Y45,MIN(Y45,Y37))+(1-Y36)*(Y45/Y38+Y39)</f>
        <v>2407.392</v>
      </c>
      <c r="Z64" s="67" t="n">
        <f aca="false">Z36*IF(Z37=0,Z45,MIN(Z45,Z37))+(1-Z36)*(Z45/Z38+Z39)</f>
        <v>2407.392</v>
      </c>
      <c r="AA64" s="67" t="n">
        <f aca="false">AA36*IF(AA37=0,AA45,MIN(AA45,AA37))+(1-AA36)*(AA45/AA38+AA39)</f>
        <v>2212.32</v>
      </c>
      <c r="AB64" s="67" t="n">
        <f aca="false">AB36*IF(AB37=0,AB45,MIN(AB45,AB37))+(1-AB36)*(AB45/AB38+AB39)</f>
        <v>2212.32</v>
      </c>
      <c r="AC64" s="67" t="n">
        <f aca="false">AC36*IF(AC37=0,AC45,MIN(AC45,AC37))+(1-AC36)*(AC45/AC38+AC39)</f>
        <v>34816</v>
      </c>
      <c r="AD64" s="67" t="n">
        <f aca="false">AD36*IF(AD37=0,AD45,MIN(AD45,AD37))+(1-AD36)*(AD45/AD38+AD39)</f>
        <v>34816</v>
      </c>
      <c r="AE64" s="67" t="n">
        <f aca="false">AE36*IF(AE37=0,AE45,MIN(AE45,AE37))+(1-AE36)*(AE45/AE38+AE39)</f>
        <v>34816</v>
      </c>
      <c r="AF64" s="67" t="n">
        <f aca="false">AF36*IF(AF37=0,AF45,MIN(AF45,AF37))+(1-AF36)*(AF45/AF38+AF39)</f>
        <v>34816</v>
      </c>
      <c r="AG64" s="67" t="n">
        <f aca="false">AG36*IF(AG37=0,AG45,MIN(AG45,AG37))+(1-AG36)*(AG45/AG38+AG39)</f>
        <v>34816</v>
      </c>
      <c r="AH64" s="67" t="n">
        <f aca="false">AH36*IF(AH37=0,AH45,MIN(AH45,AH37))+(1-AH36)*(AH45/AH38+AH39)</f>
        <v>34816</v>
      </c>
    </row>
    <row r="65" customFormat="false" ht="15" hidden="false" customHeight="false" outlineLevel="0" collapsed="false">
      <c r="A65" s="61" t="s">
        <v>492</v>
      </c>
      <c r="B65" s="61" t="s">
        <v>493</v>
      </c>
      <c r="C65" s="74" t="n">
        <f aca="false">(2*C28*1000000000+C35*C64)*C10/1000000000</f>
        <v>133.37673125888</v>
      </c>
      <c r="D65" s="74" t="n">
        <f aca="false">(2*D28*1000000000+D35*D64)*D10/1000000000</f>
        <v>133.37673125888</v>
      </c>
      <c r="E65" s="74" t="n">
        <f aca="false">(2*E28*1000000000+E35*E64)*E10/1000000000</f>
        <v>133.37673125888</v>
      </c>
      <c r="F65" s="74" t="n">
        <f aca="false">(2*F28*1000000000+F35*F64)*F10/1000000000</f>
        <v>133.37673125888</v>
      </c>
      <c r="G65" s="74" t="n">
        <f aca="false">(2*G28*1000000000+G35*G64)*G10/1000000000</f>
        <v>133.37673125888</v>
      </c>
      <c r="H65" s="74" t="n">
        <f aca="false">(2*H28*1000000000+H35*H64)*H10/1000000000</f>
        <v>133.37673125888</v>
      </c>
      <c r="I65" s="74" t="n">
        <f aca="false">(2*I28*1000000000+I35*I64)*I10/1000000000</f>
        <v>133.37673125888</v>
      </c>
      <c r="J65" s="74" t="n">
        <f aca="false">(2*J28*1000000000+J35*J64)*J10/1000000000</f>
        <v>133.37673125888</v>
      </c>
      <c r="K65" s="74" t="n">
        <f aca="false">(2*K28*1000000000+K35*K64)*K10/1000000000</f>
        <v>133.37673125888</v>
      </c>
      <c r="L65" s="74" t="n">
        <f aca="false">(2*L28*1000000000+L35*L64)*L10/1000000000</f>
        <v>133.37673125888</v>
      </c>
      <c r="M65" s="74" t="n">
        <f aca="false">(2*M28*1000000000+M35*M64)*M10/1000000000</f>
        <v>133.37673125888</v>
      </c>
      <c r="N65" s="74" t="n">
        <f aca="false">(2*N28*1000000000+N35*N64)*N10/1000000000</f>
        <v>133.37673125888</v>
      </c>
      <c r="O65" s="74" t="n">
        <f aca="false">(2*O28*1000000000+O35*O64)*O10/1000000000</f>
        <v>133.37673125888</v>
      </c>
      <c r="P65" s="74" t="n">
        <f aca="false">(2*P28*1000000000+P35*P64)*P10/1000000000</f>
        <v>133.37673125888</v>
      </c>
      <c r="Q65" s="74" t="n">
        <f aca="false">(2*Q28*1000000000+Q35*Q64)*Q10/1000000000</f>
        <v>133.37673125888</v>
      </c>
      <c r="R65" s="74" t="n">
        <f aca="false">(2*R28*1000000000+R35*R64)*R10/1000000000</f>
        <v>133.37673125888</v>
      </c>
      <c r="S65" s="74" t="n">
        <f aca="false">(2*S28*1000000000+S35*S64)*S10/1000000000</f>
        <v>133.37673125888</v>
      </c>
      <c r="T65" s="74" t="n">
        <f aca="false">(2*T28*1000000000+T35*T64)*T10/1000000000</f>
        <v>133.37673125888</v>
      </c>
      <c r="U65" s="74" t="n">
        <f aca="false">(2*U28*1000000000+U35*U64)*U10/1000000000</f>
        <v>133.37673125888</v>
      </c>
      <c r="V65" s="74" t="n">
        <f aca="false">(2*V28*1000000000+V35*V64)*V10/1000000000</f>
        <v>133.37673125888</v>
      </c>
      <c r="W65" s="74" t="n">
        <f aca="false">(2*W28*1000000000+W35*W64)*W10/1000000000</f>
        <v>132.596892704768</v>
      </c>
      <c r="X65" s="74" t="n">
        <f aca="false">(2*X28*1000000000+X35*X64)*X10/1000000000</f>
        <v>132.596892704768</v>
      </c>
      <c r="Y65" s="74" t="n">
        <f aca="false">(2*Y28*1000000000+Y35*Y64)*Y10/1000000000</f>
        <v>136.496085475328</v>
      </c>
      <c r="Z65" s="74" t="n">
        <f aca="false">(2*Z28*1000000000+Z35*Z64)*Z10/1000000000</f>
        <v>136.496085475328</v>
      </c>
      <c r="AA65" s="74" t="n">
        <f aca="false">(2*AA28*1000000000+AA35*AA64)*AA10/1000000000</f>
        <v>133.37673125888</v>
      </c>
      <c r="AB65" s="74" t="n">
        <f aca="false">(2*AB28*1000000000+AB35*AB64)*AB10/1000000000</f>
        <v>133.37673125888</v>
      </c>
      <c r="AC65" s="74" t="n">
        <f aca="false">(2*AC28*1000000000+AC35*AC64)*AC10/1000000000</f>
        <v>531.1276032</v>
      </c>
      <c r="AD65" s="74" t="n">
        <f aca="false">(2*AD28*1000000000+AD35*AD64)*AD10/1000000000</f>
        <v>531.1276032</v>
      </c>
      <c r="AE65" s="74" t="n">
        <f aca="false">(2*AE28*1000000000+AE35*AE64)*AE10/1000000000</f>
        <v>531.1276032</v>
      </c>
      <c r="AF65" s="74" t="n">
        <f aca="false">(2*AF28*1000000000+AF35*AF64)*AF10/1000000000</f>
        <v>531.1276032</v>
      </c>
      <c r="AG65" s="74" t="n">
        <f aca="false">(2*AG28*1000000000+AG35*AG64)*AG10/1000000000</f>
        <v>531.1276032</v>
      </c>
      <c r="AH65" s="74" t="n">
        <f aca="false">(2*AH28*1000000000+AH35*AH64)*AH10/1000000000</f>
        <v>531.1276032</v>
      </c>
    </row>
    <row r="66" customFormat="false" ht="15" hidden="false" customHeight="false" outlineLevel="0" collapsed="false">
      <c r="A66" s="61" t="s">
        <v>768</v>
      </c>
      <c r="B66" s="61" t="s">
        <v>292</v>
      </c>
      <c r="C66" s="67" t="n">
        <f aca="false">C36*IF(C37=0,C46,MIN(C46,C37))+(1-C36)*(C46/C38+C39)</f>
        <v>2175.744</v>
      </c>
      <c r="D66" s="67" t="n">
        <f aca="false">D36*IF(D37=0,D46,MIN(D46,D37))+(1-D36)*(D46/D38+D39)</f>
        <v>2175.744</v>
      </c>
      <c r="E66" s="67" t="n">
        <f aca="false">E36*IF(E37=0,E46,MIN(E46,E37))+(1-E36)*(E46/E38+E39)</f>
        <v>2175.744</v>
      </c>
      <c r="F66" s="67" t="n">
        <f aca="false">F36*IF(F37=0,F46,MIN(F46,F37))+(1-F36)*(F46/F38+F39)</f>
        <v>2175.744</v>
      </c>
      <c r="G66" s="67" t="n">
        <f aca="false">G36*IF(G37=0,G46,MIN(G46,G37))+(1-G36)*(G46/G38+G39)</f>
        <v>2175.744</v>
      </c>
      <c r="H66" s="67" t="n">
        <f aca="false">H36*IF(H37=0,H46,MIN(H46,H37))+(1-H36)*(H46/H38+H39)</f>
        <v>2175.744</v>
      </c>
      <c r="I66" s="67" t="n">
        <f aca="false">I36*IF(I37=0,I46,MIN(I46,I37))+(1-I36)*(I46/I38+I39)</f>
        <v>2175.744</v>
      </c>
      <c r="J66" s="67" t="n">
        <f aca="false">J36*IF(J37=0,J46,MIN(J46,J37))+(1-J36)*(J46/J38+J39)</f>
        <v>2175.744</v>
      </c>
      <c r="K66" s="67" t="n">
        <f aca="false">K36*IF(K37=0,K46,MIN(K46,K37))+(1-K36)*(K46/K38+K39)</f>
        <v>2175.744</v>
      </c>
      <c r="L66" s="67" t="n">
        <f aca="false">L36*IF(L37=0,L46,MIN(L46,L37))+(1-L36)*(L46/L38+L39)</f>
        <v>2175.744</v>
      </c>
      <c r="M66" s="67" t="n">
        <f aca="false">M36*IF(M37=0,M46,MIN(M46,M37))+(1-M36)*(M46/M38+M39)</f>
        <v>2175.744</v>
      </c>
      <c r="N66" s="67" t="n">
        <f aca="false">N36*IF(N37=0,N46,MIN(N46,N37))+(1-N36)*(N46/N38+N39)</f>
        <v>2175.744</v>
      </c>
      <c r="O66" s="67" t="n">
        <f aca="false">O36*IF(O37=0,O46,MIN(O46,O37))+(1-O36)*(O46/O38+O39)</f>
        <v>2175.744</v>
      </c>
      <c r="P66" s="67" t="n">
        <f aca="false">P36*IF(P37=0,P46,MIN(P46,P37))+(1-P36)*(P46/P38+P39)</f>
        <v>2175.744</v>
      </c>
      <c r="Q66" s="67" t="n">
        <f aca="false">Q36*IF(Q37=0,Q46,MIN(Q46,Q37))+(1-Q36)*(Q46/Q38+Q39)</f>
        <v>2175.744</v>
      </c>
      <c r="R66" s="67" t="n">
        <f aca="false">R36*IF(R37=0,R46,MIN(R46,R37))+(1-R36)*(R46/R38+R39)</f>
        <v>2175.744</v>
      </c>
      <c r="S66" s="67" t="n">
        <f aca="false">S36*IF(S37=0,S46,MIN(S46,S37))+(1-S36)*(S46/S38+S39)</f>
        <v>2175.744</v>
      </c>
      <c r="T66" s="67" t="n">
        <f aca="false">T36*IF(T37=0,T46,MIN(T46,T37))+(1-T36)*(T46/T38+T39)</f>
        <v>2175.744</v>
      </c>
      <c r="U66" s="67" t="n">
        <f aca="false">U36*IF(U37=0,U46,MIN(U46,U37))+(1-U36)*(U46/U38+U39)</f>
        <v>2175.744</v>
      </c>
      <c r="V66" s="67" t="n">
        <f aca="false">V36*IF(V37=0,V46,MIN(V46,V37))+(1-V36)*(V46/V38+V39)</f>
        <v>2175.744</v>
      </c>
      <c r="W66" s="67" t="n">
        <f aca="false">W36*IF(W37=0,W46,MIN(W46,W37))+(1-W36)*(W46/W38+W39)</f>
        <v>1080.768</v>
      </c>
      <c r="X66" s="67" t="n">
        <f aca="false">X36*IF(X37=0,X46,MIN(X46,X37))+(1-X36)*(X46/X38+X39)</f>
        <v>1080.768</v>
      </c>
      <c r="Y66" s="67" t="n">
        <f aca="false">Y36*IF(Y37=0,Y46,MIN(Y46,Y37))+(1-Y36)*(Y46/Y38+Y39)</f>
        <v>2273.28</v>
      </c>
      <c r="Z66" s="67" t="n">
        <f aca="false">Z36*IF(Z37=0,Z46,MIN(Z46,Z37))+(1-Z36)*(Z46/Z38+Z39)</f>
        <v>2273.28</v>
      </c>
      <c r="AA66" s="67" t="n">
        <f aca="false">AA36*IF(AA37=0,AA46,MIN(AA46,AA37))+(1-AA36)*(AA46/AA38+AA39)</f>
        <v>2175.744</v>
      </c>
      <c r="AB66" s="67" t="n">
        <f aca="false">AB36*IF(AB37=0,AB46,MIN(AB46,AB37))+(1-AB36)*(AB46/AB38+AB39)</f>
        <v>2175.744</v>
      </c>
      <c r="AC66" s="67" t="n">
        <f aca="false">AC36*IF(AC37=0,AC46,MIN(AC46,AC37))+(1-AC36)*(AC46/AC38+AC39)</f>
        <v>16384</v>
      </c>
      <c r="AD66" s="67" t="n">
        <f aca="false">AD36*IF(AD37=0,AD46,MIN(AD46,AD37))+(1-AD36)*(AD46/AD38+AD39)</f>
        <v>16384</v>
      </c>
      <c r="AE66" s="67" t="n">
        <f aca="false">AE36*IF(AE37=0,AE46,MIN(AE46,AE37))+(1-AE36)*(AE46/AE38+AE39)</f>
        <v>16384</v>
      </c>
      <c r="AF66" s="67" t="n">
        <f aca="false">AF36*IF(AF37=0,AF46,MIN(AF46,AF37))+(1-AF36)*(AF46/AF38+AF39)</f>
        <v>16384</v>
      </c>
      <c r="AG66" s="67" t="n">
        <f aca="false">AG36*IF(AG37=0,AG46,MIN(AG46,AG37))+(1-AG36)*(AG46/AG38+AG39)</f>
        <v>16384</v>
      </c>
      <c r="AH66" s="67" t="n">
        <f aca="false">AH36*IF(AH37=0,AH46,MIN(AH46,AH37))+(1-AH36)*(AH46/AH38+AH39)</f>
        <v>16384</v>
      </c>
    </row>
    <row r="67" customFormat="false" ht="15" hidden="false" customHeight="false" outlineLevel="0" collapsed="false">
      <c r="A67" s="61" t="s">
        <v>495</v>
      </c>
      <c r="B67" s="61" t="s">
        <v>493</v>
      </c>
      <c r="C67" s="74" t="n">
        <f aca="false">(2*C28*1000000000+C35*C66)*C10/1000000000</f>
        <v>132.791852343296</v>
      </c>
      <c r="D67" s="74" t="n">
        <f aca="false">(2*D28*1000000000+D35*D66)*D10/1000000000</f>
        <v>132.791852343296</v>
      </c>
      <c r="E67" s="74" t="n">
        <f aca="false">(2*E28*1000000000+E35*E66)*E10/1000000000</f>
        <v>132.791852343296</v>
      </c>
      <c r="F67" s="74" t="n">
        <f aca="false">(2*F28*1000000000+F35*F66)*F10/1000000000</f>
        <v>132.791852343296</v>
      </c>
      <c r="G67" s="74" t="n">
        <f aca="false">(2*G28*1000000000+G35*G66)*G10/1000000000</f>
        <v>132.791852343296</v>
      </c>
      <c r="H67" s="74" t="n">
        <f aca="false">(2*H28*1000000000+H35*H66)*H10/1000000000</f>
        <v>132.791852343296</v>
      </c>
      <c r="I67" s="74" t="n">
        <f aca="false">(2*I28*1000000000+I35*I66)*I10/1000000000</f>
        <v>132.791852343296</v>
      </c>
      <c r="J67" s="74" t="n">
        <f aca="false">(2*J28*1000000000+J35*J66)*J10/1000000000</f>
        <v>132.791852343296</v>
      </c>
      <c r="K67" s="74" t="n">
        <f aca="false">(2*K28*1000000000+K35*K66)*K10/1000000000</f>
        <v>132.791852343296</v>
      </c>
      <c r="L67" s="74" t="n">
        <f aca="false">(2*L28*1000000000+L35*L66)*L10/1000000000</f>
        <v>132.791852343296</v>
      </c>
      <c r="M67" s="74" t="n">
        <f aca="false">(2*M28*1000000000+M35*M66)*M10/1000000000</f>
        <v>132.791852343296</v>
      </c>
      <c r="N67" s="74" t="n">
        <f aca="false">(2*N28*1000000000+N35*N66)*N10/1000000000</f>
        <v>132.791852343296</v>
      </c>
      <c r="O67" s="74" t="n">
        <f aca="false">(2*O28*1000000000+O35*O66)*O10/1000000000</f>
        <v>132.791852343296</v>
      </c>
      <c r="P67" s="74" t="n">
        <f aca="false">(2*P28*1000000000+P35*P66)*P10/1000000000</f>
        <v>132.791852343296</v>
      </c>
      <c r="Q67" s="74" t="n">
        <f aca="false">(2*Q28*1000000000+Q35*Q66)*Q10/1000000000</f>
        <v>132.791852343296</v>
      </c>
      <c r="R67" s="74" t="n">
        <f aca="false">(2*R28*1000000000+R35*R66)*R10/1000000000</f>
        <v>132.791852343296</v>
      </c>
      <c r="S67" s="74" t="n">
        <f aca="false">(2*S28*1000000000+S35*S66)*S10/1000000000</f>
        <v>132.791852343296</v>
      </c>
      <c r="T67" s="74" t="n">
        <f aca="false">(2*T28*1000000000+T35*T66)*T10/1000000000</f>
        <v>132.791852343296</v>
      </c>
      <c r="U67" s="74" t="n">
        <f aca="false">(2*U28*1000000000+U35*U66)*U10/1000000000</f>
        <v>132.791852343296</v>
      </c>
      <c r="V67" s="74" t="n">
        <f aca="false">(2*V28*1000000000+V35*V66)*V10/1000000000</f>
        <v>132.791852343296</v>
      </c>
      <c r="W67" s="74" t="n">
        <f aca="false">(2*W28*1000000000+W35*W66)*W10/1000000000</f>
        <v>115.282327642112</v>
      </c>
      <c r="X67" s="74" t="n">
        <f aca="false">(2*X28*1000000000+X35*X66)*X10/1000000000</f>
        <v>115.282327642112</v>
      </c>
      <c r="Y67" s="74" t="n">
        <f aca="false">(2*Y28*1000000000+Y35*Y66)*Y10/1000000000</f>
        <v>134.35152945152</v>
      </c>
      <c r="Z67" s="74" t="n">
        <f aca="false">(2*Z28*1000000000+Z35*Z66)*Z10/1000000000</f>
        <v>134.35152945152</v>
      </c>
      <c r="AA67" s="74" t="n">
        <f aca="false">(2*AA28*1000000000+AA35*AA66)*AA10/1000000000</f>
        <v>132.791852343296</v>
      </c>
      <c r="AB67" s="74" t="n">
        <f aca="false">(2*AB28*1000000000+AB35*AB66)*AB10/1000000000</f>
        <v>132.791852343296</v>
      </c>
      <c r="AC67" s="74" t="n">
        <f aca="false">(2*AC28*1000000000+AC35*AC66)*AC10/1000000000</f>
        <v>440.5306368</v>
      </c>
      <c r="AD67" s="74" t="n">
        <f aca="false">(2*AD28*1000000000+AD35*AD66)*AD10/1000000000</f>
        <v>440.5306368</v>
      </c>
      <c r="AE67" s="74" t="n">
        <f aca="false">(2*AE28*1000000000+AE35*AE66)*AE10/1000000000</f>
        <v>440.5306368</v>
      </c>
      <c r="AF67" s="74" t="n">
        <f aca="false">(2*AF28*1000000000+AF35*AF66)*AF10/1000000000</f>
        <v>440.5306368</v>
      </c>
      <c r="AG67" s="74" t="n">
        <f aca="false">(2*AG28*1000000000+AG35*AG66)*AG10/1000000000</f>
        <v>440.5306368</v>
      </c>
      <c r="AH67" s="74" t="n">
        <f aca="false">(2*AH28*1000000000+AH35*AH66)*AH10/1000000000</f>
        <v>440.5306368</v>
      </c>
    </row>
    <row r="68" customFormat="false" ht="15" hidden="false" customHeight="false" outlineLevel="0" collapsed="false">
      <c r="A68" s="75" t="s">
        <v>769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</row>
    <row r="69" customFormat="false" ht="15" hidden="false" customHeight="false" outlineLevel="0" collapsed="false">
      <c r="A69" s="60" t="s">
        <v>496</v>
      </c>
      <c r="B69" s="61" t="s">
        <v>316</v>
      </c>
      <c r="C69" s="67" t="n">
        <f aca="false">C15*(1-C56)</f>
        <v>259.2</v>
      </c>
      <c r="D69" s="67" t="n">
        <f aca="false">D15*(1-D56)</f>
        <v>259.2</v>
      </c>
      <c r="E69" s="67" t="n">
        <f aca="false">E15*(1-E56)</f>
        <v>259.2</v>
      </c>
      <c r="F69" s="67" t="n">
        <f aca="false">F15*(1-F56)</f>
        <v>259.2</v>
      </c>
      <c r="G69" s="67" t="n">
        <f aca="false">G15*(1-G56)</f>
        <v>259.2</v>
      </c>
      <c r="H69" s="67" t="n">
        <f aca="false">H15*(1-H56)</f>
        <v>259.2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259.2</v>
      </c>
      <c r="P69" s="67" t="n">
        <f aca="false">P15*(1-P56)</f>
        <v>259.2</v>
      </c>
      <c r="Q69" s="67" t="n">
        <f aca="false">Q15*(1-Q56)</f>
        <v>259.2</v>
      </c>
      <c r="R69" s="67" t="n">
        <f aca="false">R15*(1-R56)</f>
        <v>259.2</v>
      </c>
      <c r="S69" s="67" t="n">
        <f aca="false">S15*(1-S56)</f>
        <v>259.2</v>
      </c>
      <c r="T69" s="67" t="n">
        <f aca="false">T15*(1-T56)</f>
        <v>259.2</v>
      </c>
      <c r="U69" s="67" t="n">
        <f aca="false">U15*(1-U56)</f>
        <v>259.2</v>
      </c>
      <c r="V69" s="67" t="n">
        <f aca="false">V15*(1-V56)</f>
        <v>259.2</v>
      </c>
      <c r="W69" s="67" t="n">
        <f aca="false">W15*(1-W56)</f>
        <v>259.2</v>
      </c>
      <c r="X69" s="67" t="n">
        <f aca="false">X15*(1-X56)</f>
        <v>259.2</v>
      </c>
      <c r="Y69" s="67" t="n">
        <f aca="false">Y15*(1-Y56)</f>
        <v>259.2</v>
      </c>
      <c r="Z69" s="67" t="n">
        <f aca="false">Z15*(1-Z56)</f>
        <v>259.2</v>
      </c>
      <c r="AA69" s="67" t="n">
        <f aca="false">AA15*(1-AA56)</f>
        <v>259.2</v>
      </c>
      <c r="AB69" s="67" t="n">
        <f aca="false">AB15*(1-AB56)</f>
        <v>259.2</v>
      </c>
      <c r="AC69" s="67" t="n">
        <f aca="false">AC15*(1-AC56)</f>
        <v>259.2</v>
      </c>
      <c r="AD69" s="67" t="n">
        <f aca="false">AD15*(1-AD56)</f>
        <v>259.2</v>
      </c>
      <c r="AE69" s="67" t="n">
        <f aca="false">AE15*(1-AE56)</f>
        <v>259.2</v>
      </c>
      <c r="AF69" s="67" t="n">
        <f aca="false">AF15*(1-AF56)</f>
        <v>259.2</v>
      </c>
      <c r="AG69" s="67" t="n">
        <f aca="false">AG15*(1-AG56)</f>
        <v>259.2</v>
      </c>
      <c r="AH69" s="67" t="n">
        <f aca="false">AH15*(1-AH56)</f>
        <v>259.2</v>
      </c>
    </row>
    <row r="70" customFormat="false" ht="15" hidden="false" customHeight="false" outlineLevel="0" collapsed="false">
      <c r="A70" s="60" t="s">
        <v>770</v>
      </c>
      <c r="B70" s="60"/>
      <c r="C70" s="111" t="n">
        <f aca="false">MAX(1,CEILING(C32*C20/(C57*C69),1))</f>
        <v>1</v>
      </c>
      <c r="D70" s="111" t="n">
        <f aca="false">MAX(1,CEILING(D32*D20/(D57*D69),1))</f>
        <v>1</v>
      </c>
      <c r="E70" s="111" t="n">
        <f aca="false">MAX(1,CEILING(E32*E20/(E57*E69),1))</f>
        <v>1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1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  <c r="R70" s="111" t="n">
        <f aca="false">MAX(1,CEILING(R32*R20/(R57*R69),1))</f>
        <v>1</v>
      </c>
      <c r="S70" s="111" t="n">
        <f aca="false">MAX(1,CEILING(S32*S20/(S57*S69),1))</f>
        <v>1</v>
      </c>
      <c r="T70" s="111" t="n">
        <f aca="false">MAX(1,CEILING(T32*T20/(T57*T69),1))</f>
        <v>1</v>
      </c>
      <c r="U70" s="111" t="n">
        <f aca="false">MAX(1,CEILING(U32*U20/(U57*U69),1))</f>
        <v>1</v>
      </c>
      <c r="V70" s="111" t="n">
        <f aca="false">MAX(1,CEILING(V32*V20/(V57*V69),1))</f>
        <v>1</v>
      </c>
      <c r="W70" s="111" t="n">
        <f aca="false">MAX(1,CEILING(W32*W20/(W57*W69),1))</f>
        <v>1</v>
      </c>
      <c r="X70" s="111" t="n">
        <f aca="false">MAX(1,CEILING(X32*X20/(X57*X69),1))</f>
        <v>1</v>
      </c>
      <c r="Y70" s="111" t="n">
        <f aca="false">MAX(1,CEILING(Y32*Y20/(Y57*Y69),1))</f>
        <v>1</v>
      </c>
      <c r="Z70" s="111" t="n">
        <f aca="false">MAX(1,CEILING(Z32*Z20/(Z57*Z69),1))</f>
        <v>1</v>
      </c>
      <c r="AA70" s="111" t="n">
        <f aca="false">MAX(1,CEILING(AA32*AA20/(AA57*AA69),1))</f>
        <v>1</v>
      </c>
      <c r="AB70" s="111" t="n">
        <f aca="false">MAX(1,CEILING(AB32*AB20/(AB57*AB69),1))</f>
        <v>1</v>
      </c>
      <c r="AC70" s="111" t="n">
        <f aca="false">MAX(1,CEILING(AC32*AC20/(AC57*AC69),1))</f>
        <v>1</v>
      </c>
      <c r="AD70" s="111" t="n">
        <f aca="false">MAX(1,CEILING(AD32*AD20/(AD57*AD69),1))</f>
        <v>1</v>
      </c>
      <c r="AE70" s="111" t="n">
        <f aca="false">MAX(1,CEILING(AE32*AE20/(AE57*AE69),1))</f>
        <v>1</v>
      </c>
      <c r="AF70" s="111" t="n">
        <f aca="false">MAX(1,CEILING(AF32*AF20/(AF57*AF69),1))</f>
        <v>1</v>
      </c>
      <c r="AG70" s="111" t="n">
        <f aca="false">MAX(1,CEILING(AG32*AG20/(AG57*AG69),1))</f>
        <v>1</v>
      </c>
      <c r="AH70" s="111" t="n">
        <f aca="false">MAX(1,CEILING(AH32*AH20/(AH57*AH69),1))</f>
        <v>1</v>
      </c>
    </row>
    <row r="71" customFormat="false" ht="15" hidden="false" customHeight="false" outlineLevel="0" collapsed="false">
      <c r="A71" s="61" t="s">
        <v>771</v>
      </c>
      <c r="B71" s="61" t="s">
        <v>731</v>
      </c>
      <c r="C71" s="67" t="n">
        <f aca="false">MAX(C18,CEILING(C33*C19/(C58*C69),1))</f>
        <v>32</v>
      </c>
      <c r="D71" s="67" t="n">
        <f aca="false">MAX(D18,CEILING(D33*D19/(D58*D69),1))</f>
        <v>32</v>
      </c>
      <c r="E71" s="67" t="n">
        <f aca="false">MAX(E18,CEILING(E33*E19/(E58*E69),1))</f>
        <v>32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32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32</v>
      </c>
      <c r="P71" s="67" t="n">
        <f aca="false">MAX(P18,CEILING(P33*P19/(P58*P69),1))</f>
        <v>32</v>
      </c>
      <c r="Q71" s="67" t="n">
        <f aca="false">MAX(Q18,CEILING(Q33*Q19/(Q58*Q69),1))</f>
        <v>32</v>
      </c>
      <c r="R71" s="67" t="n">
        <f aca="false">MAX(R18,CEILING(R33*R19/(R58*R69),1))</f>
        <v>32</v>
      </c>
      <c r="S71" s="67" t="n">
        <f aca="false">MAX(S18,CEILING(S33*S19/(S58*S69),1))</f>
        <v>32</v>
      </c>
      <c r="T71" s="67" t="n">
        <f aca="false">MAX(T18,CEILING(T33*T19/(T58*T69),1))</f>
        <v>32</v>
      </c>
      <c r="U71" s="67" t="n">
        <f aca="false">MAX(U18,CEILING(U33*U19/(U58*U69),1))</f>
        <v>32</v>
      </c>
      <c r="V71" s="67" t="n">
        <f aca="false">MAX(V18,CEILING(V33*V19/(V58*V69),1))</f>
        <v>32</v>
      </c>
      <c r="W71" s="67" t="n">
        <f aca="false">MAX(W18,CEILING(W33*W19/(W58*W69),1))</f>
        <v>32</v>
      </c>
      <c r="X71" s="67" t="n">
        <f aca="false">MAX(X18,CEILING(X33*X19/(X58*X69),1))</f>
        <v>32</v>
      </c>
      <c r="Y71" s="67" t="n">
        <f aca="false">MAX(Y18,CEILING(Y33*Y19/(Y58*Y69),1))</f>
        <v>32</v>
      </c>
      <c r="Z71" s="67" t="n">
        <f aca="false">MAX(Z18,CEILING(Z33*Z19/(Z58*Z69),1))</f>
        <v>32</v>
      </c>
      <c r="AA71" s="67" t="n">
        <f aca="false">MAX(AA18,CEILING(AA33*AA19/(AA58*AA69),1))</f>
        <v>32</v>
      </c>
      <c r="AB71" s="67" t="n">
        <f aca="false">MAX(AB18,CEILING(AB33*AB19/(AB58*AB69),1))</f>
        <v>32</v>
      </c>
      <c r="AC71" s="67" t="n">
        <f aca="false">MAX(AC18,CEILING(AC33*AC19/(AC58*AC69),1))</f>
        <v>32</v>
      </c>
      <c r="AD71" s="67" t="n">
        <f aca="false">MAX(AD18,CEILING(AD33*AD19/(AD58*AD69),1))</f>
        <v>32</v>
      </c>
      <c r="AE71" s="67" t="n">
        <f aca="false">MAX(AE18,CEILING(AE33*AE19/(AE58*AE69),1))</f>
        <v>32</v>
      </c>
      <c r="AF71" s="67" t="n">
        <f aca="false">MAX(AF18,CEILING(AF33*AF19/(AF58*AF69),1))</f>
        <v>32</v>
      </c>
      <c r="AG71" s="67" t="n">
        <f aca="false">MAX(AG18,CEILING(AG33*AG19/(AG58*AG69),1))</f>
        <v>32</v>
      </c>
      <c r="AH71" s="67" t="n">
        <f aca="false">MAX(AH18,CEILING(AH33*AH19/(AH58*AH69),1))</f>
        <v>32</v>
      </c>
    </row>
    <row r="72" customFormat="false" ht="15" hidden="false" customHeight="false" outlineLevel="0" collapsed="false">
      <c r="A72" s="60" t="s">
        <v>499</v>
      </c>
      <c r="B72" s="61" t="s">
        <v>316</v>
      </c>
      <c r="C72" s="74" t="n">
        <f aca="false">C32*C20/C70+C33*C19/C71</f>
        <v>48.0463324652778</v>
      </c>
      <c r="D72" s="74" t="n">
        <f aca="false">D32*D20/D70+D33*D19/D71</f>
        <v>48.0463324652778</v>
      </c>
      <c r="E72" s="74" t="n">
        <f aca="false">E32*E20/E70+E33*E19/E71</f>
        <v>48.0463324652778</v>
      </c>
      <c r="F72" s="74" t="n">
        <f aca="false">F32*F20/F70+F33*F19/F71</f>
        <v>48.0463324652778</v>
      </c>
      <c r="G72" s="74" t="n">
        <f aca="false">G32*G20/G70+G33*G19/G71</f>
        <v>48.0463324652778</v>
      </c>
      <c r="H72" s="74" t="n">
        <f aca="false">H32*H20/H70+H33*H19/H71</f>
        <v>48.0463324652778</v>
      </c>
      <c r="I72" s="74" t="n">
        <f aca="false">I32*I20/I70+I33*I19/I71</f>
        <v>48.0463324652778</v>
      </c>
      <c r="J72" s="74" t="n">
        <f aca="false">J32*J20/J70+J33*J19/J71</f>
        <v>48.0463324652778</v>
      </c>
      <c r="K72" s="74" t="n">
        <f aca="false">K32*K20/K70+K33*K19/K71</f>
        <v>48.0463324652778</v>
      </c>
      <c r="L72" s="74" t="n">
        <f aca="false">L32*L20/L70+L33*L19/L71</f>
        <v>48.0463324652778</v>
      </c>
      <c r="M72" s="74" t="n">
        <f aca="false">M32*M20/M70+M33*M19/M71</f>
        <v>48.0463324652778</v>
      </c>
      <c r="N72" s="74" t="n">
        <f aca="false">N32*N20/N70+N33*N19/N71</f>
        <v>48.0463324652778</v>
      </c>
      <c r="O72" s="74" t="n">
        <f aca="false">O32*O20/O70+O33*O19/O71</f>
        <v>48.0463324652778</v>
      </c>
      <c r="P72" s="74" t="n">
        <f aca="false">P32*P20/P70+P33*P19/P71</f>
        <v>48.0463324652778</v>
      </c>
      <c r="Q72" s="74" t="n">
        <f aca="false">Q32*Q20/Q70+Q33*Q19/Q71</f>
        <v>48.0463324652778</v>
      </c>
      <c r="R72" s="74" t="n">
        <f aca="false">R32*R20/R70+R33*R19/R71</f>
        <v>48.0463324652778</v>
      </c>
      <c r="S72" s="74" t="n">
        <f aca="false">S32*S20/S70+S33*S19/S71</f>
        <v>48.0463324652778</v>
      </c>
      <c r="T72" s="74" t="n">
        <f aca="false">T32*T20/T70+T33*T19/T71</f>
        <v>48.0463324652778</v>
      </c>
      <c r="U72" s="74" t="n">
        <f aca="false">U32*U20/U70+U33*U19/U71</f>
        <v>48.0463324652778</v>
      </c>
      <c r="V72" s="74" t="n">
        <f aca="false">V32*V20/V70+V33*V19/V71</f>
        <v>48.0463324652778</v>
      </c>
      <c r="W72" s="74" t="n">
        <f aca="false">W32*W20/W70+W33*W19/W71</f>
        <v>48.0463324652778</v>
      </c>
      <c r="X72" s="74" t="n">
        <f aca="false">X32*X20/X70+X33*X19/X71</f>
        <v>48.0463324652778</v>
      </c>
      <c r="Y72" s="74" t="n">
        <f aca="false">Y32*Y20/Y70+Y33*Y19/Y71</f>
        <v>48.0463324652778</v>
      </c>
      <c r="Z72" s="74" t="n">
        <f aca="false">Z32*Z20/Z70+Z33*Z19/Z71</f>
        <v>48.0463324652778</v>
      </c>
      <c r="AA72" s="74" t="n">
        <f aca="false">AA32*AA20/AA70+AA33*AA19/AA71</f>
        <v>48.0463324652778</v>
      </c>
      <c r="AB72" s="74" t="n">
        <f aca="false">AB32*AB20/AB70+AB33*AB19/AB71</f>
        <v>48.0463324652778</v>
      </c>
      <c r="AC72" s="74" t="n">
        <f aca="false">AC32*AC20/AC70+AC33*AC19/AC71</f>
        <v>118.522476688508</v>
      </c>
      <c r="AD72" s="74" t="n">
        <f aca="false">AD32*AD20/AD70+AD33*AD19/AD71</f>
        <v>118.522476688508</v>
      </c>
      <c r="AE72" s="74" t="n">
        <f aca="false">AE32*AE20/AE70+AE33*AE19/AE71</f>
        <v>118.522476688508</v>
      </c>
      <c r="AF72" s="74" t="n">
        <f aca="false">AF32*AF20/AF70+AF33*AF19/AF71</f>
        <v>118.522476688508</v>
      </c>
      <c r="AG72" s="74" t="n">
        <f aca="false">AG32*AG20/AG70+AG33*AG19/AG71</f>
        <v>118.522476688508</v>
      </c>
      <c r="AH72" s="74" t="n">
        <f aca="false">AH32*AH20/AH70+AH33*AH19/AH71</f>
        <v>118.522476688508</v>
      </c>
    </row>
    <row r="73" customFormat="false" ht="15" hidden="false" customHeight="false" outlineLevel="0" collapsed="false">
      <c r="A73" s="60" t="s">
        <v>772</v>
      </c>
      <c r="B73" s="61" t="s">
        <v>99</v>
      </c>
      <c r="C73" s="85" t="n">
        <f aca="false">C72/C69</f>
        <v>0.185363936980238</v>
      </c>
      <c r="D73" s="85" t="n">
        <f aca="false">D72/D69</f>
        <v>0.185363936980238</v>
      </c>
      <c r="E73" s="85" t="n">
        <f aca="false">E72/E69</f>
        <v>0.185363936980238</v>
      </c>
      <c r="F73" s="85" t="n">
        <f aca="false">F72/F69</f>
        <v>0.185363936980238</v>
      </c>
      <c r="G73" s="85" t="n">
        <f aca="false">G72/G69</f>
        <v>0.185363936980238</v>
      </c>
      <c r="H73" s="85" t="n">
        <f aca="false">H72/H69</f>
        <v>0.185363936980238</v>
      </c>
      <c r="I73" s="85" t="n">
        <f aca="false">I72/I69</f>
        <v>0.185363936980238</v>
      </c>
      <c r="J73" s="85" t="n">
        <f aca="false">J72/J69</f>
        <v>0.185363936980238</v>
      </c>
      <c r="K73" s="85" t="n">
        <f aca="false">K72/K69</f>
        <v>0.185363936980238</v>
      </c>
      <c r="L73" s="85" t="n">
        <f aca="false">L72/L69</f>
        <v>0.185363936980238</v>
      </c>
      <c r="M73" s="85" t="n">
        <f aca="false">M72/M69</f>
        <v>0.185363936980238</v>
      </c>
      <c r="N73" s="85" t="n">
        <f aca="false">N72/N69</f>
        <v>0.185363936980238</v>
      </c>
      <c r="O73" s="85" t="n">
        <f aca="false">O72/O69</f>
        <v>0.185363936980238</v>
      </c>
      <c r="P73" s="85" t="n">
        <f aca="false">P72/P69</f>
        <v>0.185363936980238</v>
      </c>
      <c r="Q73" s="85" t="n">
        <f aca="false">Q72/Q69</f>
        <v>0.185363936980238</v>
      </c>
      <c r="R73" s="85" t="n">
        <f aca="false">R72/R69</f>
        <v>0.185363936980238</v>
      </c>
      <c r="S73" s="85" t="n">
        <f aca="false">S72/S69</f>
        <v>0.185363936980238</v>
      </c>
      <c r="T73" s="85" t="n">
        <f aca="false">T72/T69</f>
        <v>0.185363936980238</v>
      </c>
      <c r="U73" s="85" t="n">
        <f aca="false">U72/U69</f>
        <v>0.185363936980238</v>
      </c>
      <c r="V73" s="85" t="n">
        <f aca="false">V72/V69</f>
        <v>0.185363936980238</v>
      </c>
      <c r="W73" s="85" t="n">
        <f aca="false">W72/W69</f>
        <v>0.185363936980238</v>
      </c>
      <c r="X73" s="85" t="n">
        <f aca="false">X72/X69</f>
        <v>0.185363936980238</v>
      </c>
      <c r="Y73" s="85" t="n">
        <f aca="false">Y72/Y69</f>
        <v>0.185363936980238</v>
      </c>
      <c r="Z73" s="85" t="n">
        <f aca="false">Z72/Z69</f>
        <v>0.185363936980238</v>
      </c>
      <c r="AA73" s="85" t="n">
        <f aca="false">AA72/AA69</f>
        <v>0.185363936980238</v>
      </c>
      <c r="AB73" s="85" t="n">
        <f aca="false">AB72/AB69</f>
        <v>0.185363936980238</v>
      </c>
      <c r="AC73" s="85" t="n">
        <f aca="false">AC72/AC69</f>
        <v>0.45726264154517</v>
      </c>
      <c r="AD73" s="85" t="n">
        <f aca="false">AD72/AD69</f>
        <v>0.45726264154517</v>
      </c>
      <c r="AE73" s="85" t="n">
        <f aca="false">AE72/AE69</f>
        <v>0.45726264154517</v>
      </c>
      <c r="AF73" s="85" t="n">
        <f aca="false">AF72/AF69</f>
        <v>0.45726264154517</v>
      </c>
      <c r="AG73" s="85" t="n">
        <f aca="false">AG72/AG69</f>
        <v>0.45726264154517</v>
      </c>
      <c r="AH73" s="85" t="n">
        <f aca="false">AH72/AH69</f>
        <v>0.45726264154517</v>
      </c>
    </row>
    <row r="74" customFormat="false" ht="15" hidden="false" customHeight="false" outlineLevel="0" collapsed="false">
      <c r="A74" s="75" t="s">
        <v>773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</row>
    <row r="75" customFormat="false" ht="15" hidden="false" customHeight="false" outlineLevel="0" collapsed="false">
      <c r="A75" s="61" t="s">
        <v>774</v>
      </c>
      <c r="B75" s="61" t="s">
        <v>372</v>
      </c>
      <c r="C75" s="67" t="n">
        <f aca="false">C51*C14*1000000000000000/(C67*1000000000)</f>
        <v>79071.116297521</v>
      </c>
      <c r="D75" s="67" t="n">
        <f aca="false">D51*D14*1000000000000000/(D67*1000000000)</f>
        <v>33887.6212703662</v>
      </c>
      <c r="E75" s="67" t="n">
        <f aca="false">E51*E14*1000000000000000/(E67*1000000000)</f>
        <v>79071.116297521</v>
      </c>
      <c r="F75" s="67" t="n">
        <f aca="false">F51*F14*1000000000000000/(F67*1000000000)</f>
        <v>33887.6212703662</v>
      </c>
      <c r="G75" s="67" t="n">
        <f aca="false">G51*G14*1000000000000000/(G67*1000000000)</f>
        <v>79071.116297521</v>
      </c>
      <c r="H75" s="67" t="n">
        <f aca="false">H51*H14*1000000000000000/(H67*1000000000)</f>
        <v>33887.6212703662</v>
      </c>
      <c r="I75" s="67" t="n">
        <f aca="false">I51*I14*1000000000000000/(I67*1000000000)</f>
        <v>79071.116297521</v>
      </c>
      <c r="J75" s="67" t="n">
        <f aca="false">J51*J14*1000000000000000/(J67*1000000000)</f>
        <v>33887.6212703662</v>
      </c>
      <c r="K75" s="67" t="n">
        <f aca="false">K51*K14*1000000000000000/(K67*1000000000)</f>
        <v>79071.116297521</v>
      </c>
      <c r="L75" s="67" t="n">
        <f aca="false">L51*L14*1000000000000000/(L67*1000000000)</f>
        <v>33887.6212703662</v>
      </c>
      <c r="M75" s="67" t="n">
        <f aca="false">M51*M14*1000000000000000/(M67*1000000000)</f>
        <v>112958.737567887</v>
      </c>
      <c r="N75" s="67" t="n">
        <f aca="false">N51*N14*1000000000000000/(N67*1000000000)</f>
        <v>33887.6212703662</v>
      </c>
      <c r="O75" s="67" t="n">
        <f aca="false">O51*O14*1000000000000000/(O67*1000000000)</f>
        <v>79071.116297521</v>
      </c>
      <c r="P75" s="67" t="n">
        <f aca="false">P51*P14*1000000000000000/(P67*1000000000)</f>
        <v>33887.6212703662</v>
      </c>
      <c r="Q75" s="67" t="n">
        <f aca="false">Q51*Q14*1000000000000000/(Q67*1000000000)</f>
        <v>79071.116297521</v>
      </c>
      <c r="R75" s="67" t="n">
        <f aca="false">R51*R14*1000000000000000/(R67*1000000000)</f>
        <v>33887.6212703662</v>
      </c>
      <c r="S75" s="67" t="n">
        <f aca="false">S51*S14*1000000000000000/(S67*1000000000)</f>
        <v>79071.116297521</v>
      </c>
      <c r="T75" s="67" t="n">
        <f aca="false">T51*T14*1000000000000000/(T67*1000000000)</f>
        <v>33887.6212703662</v>
      </c>
      <c r="U75" s="67" t="n">
        <f aca="false">U51*U14*1000000000000000/(U67*1000000000)</f>
        <v>79071.116297521</v>
      </c>
      <c r="V75" s="67" t="n">
        <f aca="false">V51*V14*1000000000000000/(V67*1000000000)</f>
        <v>33887.6212703662</v>
      </c>
      <c r="W75" s="67" t="n">
        <f aca="false">W51*W14*1000000000000000/(W67*1000000000)</f>
        <v>91080.7425106535</v>
      </c>
      <c r="X75" s="67" t="n">
        <f aca="false">X51*X14*1000000000000000/(X67*1000000000)</f>
        <v>39034.6039331372</v>
      </c>
      <c r="Y75" s="67" t="n">
        <f aca="false">Y51*Y14*1000000000000000/(Y67*1000000000)</f>
        <v>78153.185474445</v>
      </c>
      <c r="Z75" s="67" t="n">
        <f aca="false">Z51*Z14*1000000000000000/(Z67*1000000000)</f>
        <v>33494.2223461907</v>
      </c>
      <c r="AA75" s="67" t="n">
        <f aca="false">AA51*AA14*1000000000000000/(AA67*1000000000)</f>
        <v>55349.7814082647</v>
      </c>
      <c r="AB75" s="67" t="n">
        <f aca="false">AB51*AB14*1000000000000000/(AB67*1000000000)</f>
        <v>23721.3348892563</v>
      </c>
      <c r="AC75" s="67" t="n">
        <f aca="false">AC51*AC14*1000000000000000/(AC67*1000000000)</f>
        <v>23834.8916576419</v>
      </c>
      <c r="AD75" s="67" t="n">
        <f aca="false">AD51*AD14*1000000000000000/(AD67*1000000000)</f>
        <v>10214.9535675608</v>
      </c>
      <c r="AE75" s="67" t="n">
        <f aca="false">AE51*AE14*1000000000000000/(AE67*1000000000)</f>
        <v>23834.8916576419</v>
      </c>
      <c r="AF75" s="67" t="n">
        <f aca="false">AF51*AF14*1000000000000000/(AF67*1000000000)</f>
        <v>10214.9535675608</v>
      </c>
      <c r="AG75" s="67" t="n">
        <f aca="false">AG51*AG14*1000000000000000/(AG67*1000000000)</f>
        <v>23834.8916576419</v>
      </c>
      <c r="AH75" s="67" t="n">
        <f aca="false">AH51*AH14*1000000000000000/(AH67*1000000000)</f>
        <v>10214.9535675608</v>
      </c>
    </row>
    <row r="76" customFormat="false" ht="15" hidden="false" customHeight="false" outlineLevel="0" collapsed="false">
      <c r="A76" s="61" t="s">
        <v>775</v>
      </c>
      <c r="B76" s="61" t="s">
        <v>375</v>
      </c>
      <c r="C76" s="76" t="n">
        <f aca="false">C43*C67*1000000000/(C51*C14*1000000000000000*C21)</f>
        <v>0.0518014692569658</v>
      </c>
      <c r="D76" s="76" t="n">
        <f aca="false">D43*D67*1000000000/(D51*D14*1000000000000000*D21)</f>
        <v>0.12087009493292</v>
      </c>
      <c r="E76" s="76" t="n">
        <f aca="false">E43*E67*1000000000/(E51*E14*1000000000000000*E21)</f>
        <v>0.0518014692569658</v>
      </c>
      <c r="F76" s="76" t="n">
        <f aca="false">F43*F67*1000000000/(F51*F14*1000000000000000*F21)</f>
        <v>0.12087009493292</v>
      </c>
      <c r="G76" s="76" t="n">
        <f aca="false">G43*G67*1000000000/(G51*G14*1000000000000000*G21)</f>
        <v>0.0518014692569658</v>
      </c>
      <c r="H76" s="76" t="n">
        <f aca="false">H43*H67*1000000000/(H51*H14*1000000000000000*H21)</f>
        <v>0.12087009493292</v>
      </c>
      <c r="I76" s="76" t="n">
        <f aca="false">I43*I67*1000000000/(I51*I14*1000000000000000*I21)</f>
        <v>0.0518014692569658</v>
      </c>
      <c r="J76" s="76" t="n">
        <f aca="false">J43*J67*1000000000/(J51*J14*1000000000000000*J21)</f>
        <v>0.12087009493292</v>
      </c>
      <c r="K76" s="76" t="n">
        <f aca="false">K43*K67*1000000000/(K51*K14*1000000000000000*K21)</f>
        <v>0.0518014692569658</v>
      </c>
      <c r="L76" s="76" t="n">
        <f aca="false">L43*L67*1000000000/(L51*L14*1000000000000000*L21)</f>
        <v>0.12087009493292</v>
      </c>
      <c r="M76" s="76" t="n">
        <f aca="false">M43*M67*1000000000/(M51*M14*1000000000000000*M21)</f>
        <v>0.036261028479876</v>
      </c>
      <c r="N76" s="76" t="n">
        <f aca="false">N43*N67*1000000000/(N51*N14*1000000000000000*N21)</f>
        <v>0.12087009493292</v>
      </c>
      <c r="O76" s="76" t="n">
        <f aca="false">O43*O67*1000000000/(O51*O14*1000000000000000*O21)</f>
        <v>0.0518014692569658</v>
      </c>
      <c r="P76" s="76" t="n">
        <f aca="false">P43*P67*1000000000/(P51*P14*1000000000000000*P21)</f>
        <v>0.12087009493292</v>
      </c>
      <c r="Q76" s="76" t="n">
        <f aca="false">Q43*Q67*1000000000/(Q51*Q14*1000000000000000*Q21)</f>
        <v>0.0518014692569658</v>
      </c>
      <c r="R76" s="76" t="n">
        <f aca="false">R43*R67*1000000000/(R51*R14*1000000000000000*R21)</f>
        <v>0.12087009493292</v>
      </c>
      <c r="S76" s="76" t="n">
        <f aca="false">S43*S67*1000000000/(S51*S14*1000000000000000*S21)</f>
        <v>0.0518014692569658</v>
      </c>
      <c r="T76" s="76" t="n">
        <f aca="false">T43*T67*1000000000/(T51*T14*1000000000000000*T21)</f>
        <v>0.12087009493292</v>
      </c>
      <c r="U76" s="76" t="n">
        <f aca="false">U43*U67*1000000000/(U51*U14*1000000000000000*U21)</f>
        <v>0.0518014692569658</v>
      </c>
      <c r="V76" s="76" t="n">
        <f aca="false">V43*V67*1000000000/(V51*V14*1000000000000000*V21)</f>
        <v>0.12087009493292</v>
      </c>
      <c r="W76" s="76" t="n">
        <f aca="false">W43*W67*1000000000/(W51*W14*1000000000000000*W21)</f>
        <v>0.0112427717624307</v>
      </c>
      <c r="X76" s="76" t="n">
        <f aca="false">X43*X67*1000000000/(X51*X14*1000000000000000*X21)</f>
        <v>0.0262331341123384</v>
      </c>
      <c r="Y76" s="76" t="n">
        <f aca="false">Y43*Y67*1000000000/(Y51*Y14*1000000000000000*Y21)</f>
        <v>0.2096395674794</v>
      </c>
      <c r="Z76" s="76" t="n">
        <f aca="false">Z43*Z67*1000000000/(Z51*Z14*1000000000000000*Z21)</f>
        <v>0.489158990785268</v>
      </c>
      <c r="AA76" s="76" t="n">
        <f aca="false">AA43*AA67*1000000000/(AA51*AA14*1000000000000000*AA21)</f>
        <v>0.0740020989385225</v>
      </c>
      <c r="AB76" s="76" t="n">
        <f aca="false">AB43*AB67*1000000000/(AB51*AB14*1000000000000000*AB21)</f>
        <v>0.172671564189886</v>
      </c>
      <c r="AC76" s="76" t="n">
        <f aca="false">AC43*AC67*1000000000/(AC51*AC14*1000000000000000*AC21)</f>
        <v>0.343697807301486</v>
      </c>
      <c r="AD76" s="76" t="n">
        <f aca="false">AD43*AD67*1000000000/(AD51*AD14*1000000000000000*AD21)</f>
        <v>0.801961550370133</v>
      </c>
      <c r="AE76" s="76" t="n">
        <f aca="false">AE43*AE67*1000000000/(AE51*AE14*1000000000000000*AE21)</f>
        <v>0.343697807301486</v>
      </c>
      <c r="AF76" s="76" t="n">
        <f aca="false">AF43*AF67*1000000000/(AF51*AF14*1000000000000000*AF21)</f>
        <v>0.801961550370133</v>
      </c>
      <c r="AG76" s="76" t="n">
        <f aca="false">AG43*AG67*1000000000/(AG51*AG14*1000000000000000*AG21)</f>
        <v>0.343697807301486</v>
      </c>
      <c r="AH76" s="76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61" t="s">
        <v>776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  <c r="R77" s="60" t="str">
        <f aca="false">IF(R76&lt;=R42,"是","否")</f>
        <v>是</v>
      </c>
      <c r="S77" s="60" t="str">
        <f aca="false">IF(S76&lt;=S42,"是","否")</f>
        <v>是</v>
      </c>
      <c r="T77" s="60" t="str">
        <f aca="false">IF(T76&lt;=T42,"是","否")</f>
        <v>是</v>
      </c>
      <c r="U77" s="60" t="str">
        <f aca="false">IF(U76&lt;=U42,"是","否")</f>
        <v>是</v>
      </c>
      <c r="V77" s="60" t="str">
        <f aca="false">IF(V76&lt;=V42,"是","否")</f>
        <v>是</v>
      </c>
      <c r="W77" s="60" t="str">
        <f aca="false">IF(W76&lt;=W42,"是","否")</f>
        <v>是</v>
      </c>
      <c r="X77" s="60" t="str">
        <f aca="false">IF(X76&lt;=X42,"是","否")</f>
        <v>是</v>
      </c>
      <c r="Y77" s="60" t="str">
        <f aca="false">IF(Y76&lt;=Y42,"是","否")</f>
        <v>是</v>
      </c>
      <c r="Z77" s="60" t="str">
        <f aca="false">IF(Z76&lt;=Z42,"是","否")</f>
        <v>是</v>
      </c>
      <c r="AA77" s="60" t="str">
        <f aca="false">IF(AA76&lt;=AA42,"是","否")</f>
        <v>是</v>
      </c>
      <c r="AB77" s="60" t="str">
        <f aca="false">IF(AB76&lt;=AB42,"是","否")</f>
        <v>是</v>
      </c>
      <c r="AC77" s="60" t="str">
        <f aca="false">IF(AC76&lt;=AC42,"是","否")</f>
        <v>是</v>
      </c>
      <c r="AD77" s="60" t="str">
        <f aca="false">IF(AD76&lt;=AD42,"是","否")</f>
        <v>是</v>
      </c>
      <c r="AE77" s="60" t="str">
        <f aca="false">IF(AE76&lt;=AE42,"是","否")</f>
        <v>是</v>
      </c>
      <c r="AF77" s="60" t="str">
        <f aca="false">IF(AF76&lt;=AF42,"是","否")</f>
        <v>是</v>
      </c>
      <c r="AG77" s="60" t="str">
        <f aca="false">IF(AG76&lt;=AG42,"是","否")</f>
        <v>是</v>
      </c>
      <c r="AH77" s="60" t="str">
        <f aca="false">IF(AH76&lt;=AH42,"是","否")</f>
        <v>是</v>
      </c>
    </row>
    <row r="78" customFormat="false" ht="15" hidden="false" customHeight="false" outlineLevel="0" collapsed="false">
      <c r="A78" s="75" t="s">
        <v>777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</row>
    <row r="79" customFormat="false" ht="15" hidden="false" customHeight="false" outlineLevel="0" collapsed="false">
      <c r="A79" s="60" t="s">
        <v>778</v>
      </c>
      <c r="B79" s="61" t="s">
        <v>504</v>
      </c>
      <c r="C79" s="71" t="n">
        <f aca="false">C72/C16+(C29+C47)*C55/1000</f>
        <v>12.4997858435238</v>
      </c>
      <c r="D79" s="71" t="n">
        <f aca="false">D72/D16+(D29+D47)*D55/1000</f>
        <v>16.3216531987164</v>
      </c>
      <c r="E79" s="71" t="n">
        <f aca="false">E72/E16+(E29+E47)*E55/1000</f>
        <v>12.4997858435238</v>
      </c>
      <c r="F79" s="71" t="n">
        <f aca="false">F72/F16+(F29+F47)*F55/1000</f>
        <v>16.3216531987164</v>
      </c>
      <c r="G79" s="71" t="n">
        <f aca="false">G72/G16+(G29+G47)*G55/1000</f>
        <v>12.4997858435238</v>
      </c>
      <c r="H79" s="71" t="n">
        <f aca="false">H72/H16+(H29+H47)*H55/1000</f>
        <v>16.3216531987164</v>
      </c>
      <c r="I79" s="71" t="n">
        <f aca="false">I72/I16+(I29+I47)*I55/1000</f>
        <v>9.40502735135683</v>
      </c>
      <c r="J79" s="71" t="n">
        <f aca="false">J72/J16+(J29+J47)*J55/1000</f>
        <v>16.3216531987164</v>
      </c>
      <c r="K79" s="71" t="n">
        <f aca="false">K72/K16+(K29+K47)*K55/1000</f>
        <v>17.6577166638022</v>
      </c>
      <c r="L79" s="71" t="n">
        <f aca="false">L72/L16+(L29+L47)*L55/1000</f>
        <v>16.3216531987164</v>
      </c>
      <c r="M79" s="71" t="n">
        <f aca="false">M72/M16+(M29+M47)*M55/1000</f>
        <v>12.4997858435238</v>
      </c>
      <c r="N79" s="71" t="n">
        <f aca="false">N72/N16+(N29+N47)*N55/1000</f>
        <v>16.3216531987164</v>
      </c>
      <c r="O79" s="71" t="n">
        <f aca="false">O72/O16+(O29+O47)*O55/1000</f>
        <v>12.4997858435238</v>
      </c>
      <c r="P79" s="71" t="n">
        <f aca="false">P72/P16+(P29+P47)*P55/1000</f>
        <v>16.3216531987164</v>
      </c>
      <c r="Q79" s="71" t="n">
        <f aca="false">Q72/Q16+(Q29+Q47)*Q55/1000</f>
        <v>12.4997858435238</v>
      </c>
      <c r="R79" s="71" t="n">
        <f aca="false">R72/R16+(R29+R47)*R55/1000</f>
        <v>16.3216531987164</v>
      </c>
      <c r="S79" s="71" t="n">
        <f aca="false">S72/S16+(S29+S47)*S55/1000</f>
        <v>12.4997858435238</v>
      </c>
      <c r="T79" s="71" t="n">
        <f aca="false">T72/T16+(T29+T47)*T55/1000</f>
        <v>16.3216531987164</v>
      </c>
      <c r="U79" s="71" t="n">
        <f aca="false">U72/U16+(U29+U47)*U55/1000</f>
        <v>12.4997858435238</v>
      </c>
      <c r="V79" s="71" t="n">
        <f aca="false">V72/V16+(V29+V47)*V55/1000</f>
        <v>16.3216531987164</v>
      </c>
      <c r="W79" s="71" t="n">
        <f aca="false">W72/W16+(W29+W47)*W55/1000</f>
        <v>12.4997858435238</v>
      </c>
      <c r="X79" s="71" t="n">
        <f aca="false">X72/X16+(X29+X47)*X55/1000</f>
        <v>16.3216531987164</v>
      </c>
      <c r="Y79" s="71" t="n">
        <f aca="false">Y72/Y16+(Y29+Y47)*Y55/1000</f>
        <v>12.4997858435238</v>
      </c>
      <c r="Z79" s="71" t="n">
        <f aca="false">Z72/Z16+(Z29+Z47)*Z55/1000</f>
        <v>16.3216531987164</v>
      </c>
      <c r="AA79" s="71" t="n">
        <f aca="false">AA72/AA16+(AA29+AA47)*AA55/1000</f>
        <v>16.9208694037624</v>
      </c>
      <c r="AB79" s="71" t="n">
        <f aca="false">AB72/AB16+(AB29+AB47)*AB55/1000</f>
        <v>20.7427367589549</v>
      </c>
      <c r="AC79" s="71" t="n">
        <f aca="false">AC72/AC16+(AC29+AC47)*AC55/1000</f>
        <v>21.989475131794</v>
      </c>
      <c r="AD79" s="71" t="n">
        <f aca="false">AD72/AD16+(AD29+AD47)*AD55/1000</f>
        <v>31.4173994138344</v>
      </c>
      <c r="AE79" s="71" t="n">
        <f aca="false">AE72/AE16+(AE29+AE47)*AE55/1000</f>
        <v>21.989475131794</v>
      </c>
      <c r="AF79" s="71" t="n">
        <f aca="false">AF72/AF16+(AF29+AF47)*AF55/1000</f>
        <v>31.4173994138344</v>
      </c>
      <c r="AG79" s="71" t="n">
        <f aca="false">AG72/AG16+(AG29+AG47)*AG55/1000</f>
        <v>21.989475131794</v>
      </c>
      <c r="AH79" s="71" t="n">
        <f aca="false">AH72/AH16+(AH29+AH47)*AH55/1000</f>
        <v>31.4173994138344</v>
      </c>
    </row>
    <row r="80" customFormat="false" ht="15" hidden="false" customHeight="false" outlineLevel="0" collapsed="false">
      <c r="A80" s="60" t="s">
        <v>779</v>
      </c>
      <c r="B80" s="61" t="s">
        <v>504</v>
      </c>
      <c r="C80" s="72" t="n">
        <f aca="false">(C47+1)*C65/(C14*C53)/1000</f>
        <v>0.426319136327043</v>
      </c>
      <c r="D80" s="72" t="n">
        <f aca="false">(D47+1)*D65/(D14*D53)/1000</f>
        <v>0.994744651429766</v>
      </c>
      <c r="E80" s="72" t="n">
        <f aca="false">(E47+1)*E65/(E14*E53)/1000</f>
        <v>0.852638272654085</v>
      </c>
      <c r="F80" s="72" t="n">
        <f aca="false">(F47+1)*F65/(F14*F53)/1000</f>
        <v>0.994744651429766</v>
      </c>
      <c r="G80" s="72" t="n">
        <f aca="false">(G47+1)*G65/(G14*G53)/1000</f>
        <v>0.284212757551362</v>
      </c>
      <c r="H80" s="72" t="n">
        <f aca="false">(H47+1)*H65/(H14*H53)/1000</f>
        <v>0.994744651429766</v>
      </c>
      <c r="I80" s="72" t="n">
        <f aca="false">(I47+1)*I65/(I14*I53)/1000</f>
        <v>0.426319136327043</v>
      </c>
      <c r="J80" s="72" t="n">
        <f aca="false">(J47+1)*J65/(J14*J53)/1000</f>
        <v>0.994744651429766</v>
      </c>
      <c r="K80" s="72" t="n">
        <f aca="false">(K47+1)*K65/(K14*K53)/1000</f>
        <v>0.426319136327043</v>
      </c>
      <c r="L80" s="72" t="n">
        <f aca="false">(L47+1)*L65/(L14*L53)/1000</f>
        <v>0.994744651429766</v>
      </c>
      <c r="M80" s="72" t="n">
        <f aca="false">(M47+1)*M65/(M14*M53)/1000</f>
        <v>0.29842339542893</v>
      </c>
      <c r="N80" s="72" t="n">
        <f aca="false">(N47+1)*N65/(N14*N53)/1000</f>
        <v>0.994744651429766</v>
      </c>
      <c r="O80" s="72" t="n">
        <f aca="false">(O47+1)*O65/(O14*O53)/1000</f>
        <v>0.426319136327043</v>
      </c>
      <c r="P80" s="72" t="n">
        <f aca="false">(P47+1)*P65/(P14*P53)/1000</f>
        <v>0.994744651429766</v>
      </c>
      <c r="Q80" s="72" t="n">
        <f aca="false">(Q47+1)*Q65/(Q14*Q53)/1000</f>
        <v>0.426319136327043</v>
      </c>
      <c r="R80" s="72" t="n">
        <f aca="false">(R47+1)*R65/(R14*R53)/1000</f>
        <v>0.994744651429766</v>
      </c>
      <c r="S80" s="72" t="n">
        <f aca="false">(S47+1)*S65/(S14*S53)/1000</f>
        <v>0.426319136327043</v>
      </c>
      <c r="T80" s="72" t="n">
        <f aca="false">(T47+1)*T65/(T14*T53)/1000</f>
        <v>0.994744651429766</v>
      </c>
      <c r="U80" s="72" t="n">
        <f aca="false">(U47+1)*U65/(U14*U53)/1000</f>
        <v>0.426319136327043</v>
      </c>
      <c r="V80" s="72" t="n">
        <f aca="false">(V47+1)*V65/(V14*V53)/1000</f>
        <v>0.994744651429766</v>
      </c>
      <c r="W80" s="72" t="n">
        <f aca="false">(W47+1)*W65/(W14*W53)/1000</f>
        <v>0.423826496900918</v>
      </c>
      <c r="X80" s="72" t="n">
        <f aca="false">(X47+1)*X65/(X14*X53)/1000</f>
        <v>0.988928492768808</v>
      </c>
      <c r="Y80" s="72" t="n">
        <f aca="false">(Y47+1)*Y65/(Y14*Y53)/1000</f>
        <v>0.436289694031542</v>
      </c>
      <c r="Z80" s="72" t="n">
        <f aca="false">(Z47+1)*Z65/(Z14*Z53)/1000</f>
        <v>1.0180092860736</v>
      </c>
      <c r="AA80" s="72" t="n">
        <f aca="false">(AA47+1)*AA65/(AA14*AA53)/1000</f>
        <v>0.609027337610061</v>
      </c>
      <c r="AB80" s="72" t="n">
        <f aca="false">(AB47+1)*AB65/(AB14*AB53)/1000</f>
        <v>1.42106378775681</v>
      </c>
      <c r="AC80" s="72" t="n">
        <f aca="false">(AC47+1)*AC65/(AC14*AC53)/1000</f>
        <v>1.69767139244238</v>
      </c>
      <c r="AD80" s="72" t="n">
        <f aca="false">(AD47+1)*AD65/(AD14*AD53)/1000</f>
        <v>3.96123324903222</v>
      </c>
      <c r="AE80" s="72" t="n">
        <f aca="false">(AE47+1)*AE65/(AE14*AE53)/1000</f>
        <v>1.69767139244238</v>
      </c>
      <c r="AF80" s="72" t="n">
        <f aca="false">(AF47+1)*AF65/(AF14*AF53)/1000</f>
        <v>3.96123324903222</v>
      </c>
      <c r="AG80" s="72" t="n">
        <f aca="false">(AG47+1)*AG65/(AG14*AG53)/1000</f>
        <v>1.69767139244238</v>
      </c>
      <c r="AH80" s="72" t="n">
        <f aca="false">(AH47+1)*AH65/(AH14*AH53)/1000</f>
        <v>3.96123324903222</v>
      </c>
    </row>
    <row r="81" customFormat="false" ht="15" hidden="false" customHeight="false" outlineLevel="0" collapsed="false">
      <c r="A81" s="60" t="s">
        <v>780</v>
      </c>
      <c r="B81" s="61" t="s">
        <v>504</v>
      </c>
      <c r="C81" s="72" t="n">
        <f aca="false">C34*C45/(C16*C60)/1000000000</f>
        <v>0.00448199480519481</v>
      </c>
      <c r="D81" s="72" t="n">
        <f aca="false">D34*D45/(D16*D60)/1000000000</f>
        <v>0.0123254857142857</v>
      </c>
      <c r="E81" s="72" t="n">
        <f aca="false">E34*E45/(E16*E60)/1000000000</f>
        <v>0.00448199480519481</v>
      </c>
      <c r="F81" s="72" t="n">
        <f aca="false">F34*F45/(F16*F60)/1000000000</f>
        <v>0.0123254857142857</v>
      </c>
      <c r="G81" s="72" t="n">
        <f aca="false">G34*G45/(G16*G60)/1000000000</f>
        <v>0.00448199480519481</v>
      </c>
      <c r="H81" s="72" t="n">
        <f aca="false">H34*H45/(H16*H60)/1000000000</f>
        <v>0.0123254857142857</v>
      </c>
      <c r="I81" s="72" t="n">
        <f aca="false">I34*I45/(I16*I60)/1000000000</f>
        <v>0.00448199480519481</v>
      </c>
      <c r="J81" s="72" t="n">
        <f aca="false">J34*J45/(J16*J60)/1000000000</f>
        <v>0.0123254857142857</v>
      </c>
      <c r="K81" s="72" t="n">
        <f aca="false">K34*K45/(K16*K60)/1000000000</f>
        <v>0.00448199480519481</v>
      </c>
      <c r="L81" s="72" t="n">
        <f aca="false">L34*L45/(L16*L60)/1000000000</f>
        <v>0.0123254857142857</v>
      </c>
      <c r="M81" s="72" t="n">
        <f aca="false">M34*M45/(M16*M60)/1000000000</f>
        <v>0.00448199480519481</v>
      </c>
      <c r="N81" s="72" t="n">
        <f aca="false">N34*N45/(N16*N60)/1000000000</f>
        <v>0.0123254857142857</v>
      </c>
      <c r="O81" s="72" t="n">
        <f aca="false">O34*O45/(O16*O60)/1000000000</f>
        <v>0.00448199480519481</v>
      </c>
      <c r="P81" s="72" t="n">
        <f aca="false">P34*P45/(P16*P60)/1000000000</f>
        <v>0.0123254857142857</v>
      </c>
      <c r="Q81" s="72" t="n">
        <f aca="false">Q34*Q45/(Q16*Q60)/1000000000</f>
        <v>0.00448199480519481</v>
      </c>
      <c r="R81" s="72" t="n">
        <f aca="false">R34*R45/(R16*R60)/1000000000</f>
        <v>0.0123254857142857</v>
      </c>
      <c r="S81" s="72" t="n">
        <f aca="false">S34*S45/(S16*S60)/1000000000</f>
        <v>0.00448199480519481</v>
      </c>
      <c r="T81" s="72" t="n">
        <f aca="false">T34*T45/(T16*T60)/1000000000</f>
        <v>0.0123254857142857</v>
      </c>
      <c r="U81" s="72" t="n">
        <f aca="false">U34*U45/(U16*U60)/1000000000</f>
        <v>0.00448199480519481</v>
      </c>
      <c r="V81" s="72" t="n">
        <f aca="false">V34*V45/(V16*V60)/1000000000</f>
        <v>0.0123254857142857</v>
      </c>
      <c r="W81" s="72" t="n">
        <f aca="false">W34*W45/(W16*W60)/1000000000</f>
        <v>0.00131823376623377</v>
      </c>
      <c r="X81" s="72" t="n">
        <f aca="false">X34*X45/(X16*X60)/1000000000</f>
        <v>0.00362514285714286</v>
      </c>
      <c r="Y81" s="72" t="n">
        <f aca="false">Y34*Y45/(Y16*Y60)/1000000000</f>
        <v>0.017137038961039</v>
      </c>
      <c r="Z81" s="72" t="n">
        <f aca="false">Z34*Z45/(Z16*Z60)/1000000000</f>
        <v>0.0471268571428572</v>
      </c>
      <c r="AA81" s="72" t="n">
        <f aca="false">AA34*AA45/(AA16*AA60)/1000000000</f>
        <v>0.00448199480519481</v>
      </c>
      <c r="AB81" s="72" t="n">
        <f aca="false">AB34*AB45/(AB16*AB60)/1000000000</f>
        <v>0.0123254857142857</v>
      </c>
      <c r="AC81" s="72" t="n">
        <f aca="false">AC34*AC45/(AC16*AC60)/1000000000</f>
        <v>0.0338574296103896</v>
      </c>
      <c r="AD81" s="72" t="n">
        <f aca="false">AD34*AD45/(AD16*AD60)/1000000000</f>
        <v>0.0931079314285714</v>
      </c>
      <c r="AE81" s="72" t="n">
        <f aca="false">AE34*AE45/(AE16*AE60)/1000000000</f>
        <v>0.130220883116883</v>
      </c>
      <c r="AF81" s="72" t="n">
        <f aca="false">AF34*AF45/(AF16*AF60)/1000000000</f>
        <v>0.358107428571429</v>
      </c>
      <c r="AG81" s="72" t="n">
        <f aca="false">AG34*AG45/(AG16*AG60)/1000000000</f>
        <v>0.463007584415584</v>
      </c>
      <c r="AH81" s="72" t="n">
        <f aca="false">AH34*AH45/(AH16*AH60)/1000000000</f>
        <v>1.27327085714286</v>
      </c>
    </row>
    <row r="82" customFormat="false" ht="15" hidden="false" customHeight="false" outlineLevel="0" collapsed="false">
      <c r="A82" s="60" t="s">
        <v>781</v>
      </c>
      <c r="B82" s="61" t="s">
        <v>504</v>
      </c>
      <c r="C82" s="72" t="n">
        <f aca="false">(C47+1)*C29*C31*C30*C59*(C71-1)/C71/(C17*C61)/1000000000</f>
        <v>0.0242048</v>
      </c>
      <c r="D82" s="72" t="n">
        <f aca="false">(D47+1)*D29*D31*D30*D59*(D71-1)/D71/(D17*D61)/1000000000</f>
        <v>0.0484096</v>
      </c>
      <c r="E82" s="72" t="n">
        <f aca="false">(E47+1)*E29*E31*E30*E59*(E71-1)/E71/(E17*E61)/1000000000</f>
        <v>0.0242048</v>
      </c>
      <c r="F82" s="72" t="n">
        <f aca="false">(F47+1)*F29*F31*F30*F59*(F71-1)/F71/(F17*F61)/1000000000</f>
        <v>0.0484096</v>
      </c>
      <c r="G82" s="72" t="n">
        <f aca="false">(G47+1)*G29*G31*G30*G59*(G71-1)/G71/(G17*G61)/1000000000</f>
        <v>0.0242048</v>
      </c>
      <c r="H82" s="72" t="n">
        <f aca="false">(H47+1)*H29*H31*H30*H59*(H71-1)/H71/(H17*H61)/1000000000</f>
        <v>0.0484096</v>
      </c>
      <c r="I82" s="72" t="n">
        <f aca="false">(I47+1)*I29*I31*I30*I59*(I71-1)/I71/(I17*I61)/1000000000</f>
        <v>0.0242048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0.0242048</v>
      </c>
      <c r="L82" s="72" t="n">
        <f aca="false">(L47+1)*L29*L31*L30*L59*(L71-1)/L71/(L17*L61)/1000000000</f>
        <v>0.0484096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0.0484096</v>
      </c>
      <c r="O82" s="72" t="n">
        <f aca="false">(O47+1)*O29*O31*O30*O59*(O71-1)/O71/(O17*O61)/1000000000</f>
        <v>0.0242048</v>
      </c>
      <c r="P82" s="72" t="n">
        <f aca="false">(P47+1)*P29*P31*P30*P59*(P71-1)/P71/(P17*P61)/1000000000</f>
        <v>0.0484096</v>
      </c>
      <c r="Q82" s="72" t="n">
        <f aca="false">(Q47+1)*Q29*Q31*Q30*Q59*(Q71-1)/Q71/(Q17*Q61)/1000000000</f>
        <v>0.0242048</v>
      </c>
      <c r="R82" s="72" t="n">
        <f aca="false">(R47+1)*R29*R31*R30*R59*(R71-1)/R71/(R17*R61)/1000000000</f>
        <v>0.0484096</v>
      </c>
      <c r="S82" s="72" t="n">
        <f aca="false">(S47+1)*S29*S31*S30*S59*(S71-1)/S71/(S17*S61)/1000000000</f>
        <v>0.0242048</v>
      </c>
      <c r="T82" s="72" t="n">
        <f aca="false">(T47+1)*T29*T31*T30*T59*(T71-1)/T71/(T17*T61)/1000000000</f>
        <v>0.0484096</v>
      </c>
      <c r="U82" s="72" t="n">
        <f aca="false">(U47+1)*U29*U31*U30*U59*(U71-1)/U71/(U17*U61)/1000000000</f>
        <v>0.0242048</v>
      </c>
      <c r="V82" s="72" t="n">
        <f aca="false">(V47+1)*V29*V31*V30*V59*(V71-1)/V71/(V17*V61)/1000000000</f>
        <v>0.0484096</v>
      </c>
      <c r="W82" s="72" t="n">
        <f aca="false">(W47+1)*W29*W31*W30*W59*(W71-1)/W71/(W17*W61)/1000000000</f>
        <v>0.0242048</v>
      </c>
      <c r="X82" s="72" t="n">
        <f aca="false">(X47+1)*X29*X31*X30*X59*(X71-1)/X71/(X17*X61)/1000000000</f>
        <v>0.0484096</v>
      </c>
      <c r="Y82" s="72" t="n">
        <f aca="false">(Y47+1)*Y29*Y31*Y30*Y59*(Y71-1)/Y71/(Y17*Y61)/1000000000</f>
        <v>0.0242048</v>
      </c>
      <c r="Z82" s="72" t="n">
        <f aca="false">(Z47+1)*Z29*Z31*Z30*Z59*(Z71-1)/Z71/(Z17*Z61)/1000000000</f>
        <v>0.0484096</v>
      </c>
      <c r="AA82" s="72" t="n">
        <f aca="false">(AA47+1)*AA29*AA31*AA30*AA59*(AA71-1)/AA71/(AA17*AA61)/1000000000</f>
        <v>0.0242048</v>
      </c>
      <c r="AB82" s="72" t="n">
        <f aca="false">(AB47+1)*AB29*AB31*AB30*AB59*(AB71-1)/AB71/(AB17*AB61)/1000000000</f>
        <v>0.0484096</v>
      </c>
      <c r="AC82" s="72" t="n">
        <f aca="false">(AC47+1)*AC29*AC31*AC30*AC59*(AC71-1)/AC71/(AC17*AC61)/1000000000</f>
        <v>0.181394285714286</v>
      </c>
      <c r="AD82" s="72" t="n">
        <f aca="false">(AD47+1)*AD29*AD31*AD30*AD59*(AD71-1)/AD71/(AD17*AD61)/1000000000</f>
        <v>0.362788571428571</v>
      </c>
      <c r="AE82" s="72" t="n">
        <f aca="false">(AE47+1)*AE29*AE31*AE30*AE59*(AE71-1)/AE71/(AE17*AE61)/1000000000</f>
        <v>0.181394285714286</v>
      </c>
      <c r="AF82" s="72" t="n">
        <f aca="false">(AF47+1)*AF29*AF31*AF30*AF59*(AF71-1)/AF71/(AF17*AF61)/1000000000</f>
        <v>0.362788571428571</v>
      </c>
      <c r="AG82" s="72" t="n">
        <f aca="false">(AG47+1)*AG29*AG31*AG30*AG59*(AG71-1)/AG71/(AG17*AG61)/1000000000</f>
        <v>0.181394285714286</v>
      </c>
      <c r="AH82" s="72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0" t="s">
        <v>782</v>
      </c>
      <c r="B83" s="61" t="s">
        <v>504</v>
      </c>
      <c r="C83" s="72" t="n">
        <f aca="false">MAX(C80,C81,C82)</f>
        <v>0.426319136327043</v>
      </c>
      <c r="D83" s="72" t="n">
        <f aca="false">MAX(D80,D81,D82)</f>
        <v>0.994744651429766</v>
      </c>
      <c r="E83" s="72" t="n">
        <f aca="false">MAX(E80,E81,E82)</f>
        <v>0.852638272654085</v>
      </c>
      <c r="F83" s="72" t="n">
        <f aca="false">MAX(F80,F81,F82)</f>
        <v>0.994744651429766</v>
      </c>
      <c r="G83" s="72" t="n">
        <f aca="false">MAX(G80,G81,G82)</f>
        <v>0.284212757551362</v>
      </c>
      <c r="H83" s="72" t="n">
        <f aca="false">MAX(H80,H81,H82)</f>
        <v>0.994744651429766</v>
      </c>
      <c r="I83" s="72" t="n">
        <f aca="false">MAX(I80,I81,I82)</f>
        <v>0.426319136327043</v>
      </c>
      <c r="J83" s="72" t="n">
        <f aca="false">MAX(J80,J81,J82)</f>
        <v>0.994744651429766</v>
      </c>
      <c r="K83" s="72" t="n">
        <f aca="false">MAX(K80,K81,K82)</f>
        <v>0.426319136327043</v>
      </c>
      <c r="L83" s="72" t="n">
        <f aca="false">MAX(L80,L81,L82)</f>
        <v>0.994744651429766</v>
      </c>
      <c r="M83" s="72" t="n">
        <f aca="false">MAX(M80,M81,M82)</f>
        <v>0.29842339542893</v>
      </c>
      <c r="N83" s="72" t="n">
        <f aca="false">MAX(N80,N81,N82)</f>
        <v>0.994744651429766</v>
      </c>
      <c r="O83" s="72" t="n">
        <f aca="false">MAX(O80,O81,O82)</f>
        <v>0.426319136327043</v>
      </c>
      <c r="P83" s="72" t="n">
        <f aca="false">MAX(P80,P81,P82)</f>
        <v>0.994744651429766</v>
      </c>
      <c r="Q83" s="72" t="n">
        <f aca="false">MAX(Q80,Q81,Q82)</f>
        <v>0.426319136327043</v>
      </c>
      <c r="R83" s="72" t="n">
        <f aca="false">MAX(R80,R81,R82)</f>
        <v>0.994744651429766</v>
      </c>
      <c r="S83" s="72" t="n">
        <f aca="false">MAX(S80,S81,S82)</f>
        <v>0.426319136327043</v>
      </c>
      <c r="T83" s="72" t="n">
        <f aca="false">MAX(T80,T81,T82)</f>
        <v>0.994744651429766</v>
      </c>
      <c r="U83" s="72" t="n">
        <f aca="false">MAX(U80,U81,U82)</f>
        <v>0.426319136327043</v>
      </c>
      <c r="V83" s="72" t="n">
        <f aca="false">MAX(V80,V81,V82)</f>
        <v>0.994744651429766</v>
      </c>
      <c r="W83" s="72" t="n">
        <f aca="false">MAX(W80,W81,W82)</f>
        <v>0.423826496900918</v>
      </c>
      <c r="X83" s="72" t="n">
        <f aca="false">MAX(X80,X81,X82)</f>
        <v>0.988928492768808</v>
      </c>
      <c r="Y83" s="72" t="n">
        <f aca="false">MAX(Y80,Y81,Y82)</f>
        <v>0.436289694031542</v>
      </c>
      <c r="Z83" s="72" t="n">
        <f aca="false">MAX(Z80,Z81,Z82)</f>
        <v>1.0180092860736</v>
      </c>
      <c r="AA83" s="72" t="n">
        <f aca="false">MAX(AA80,AA81,AA82)</f>
        <v>0.609027337610061</v>
      </c>
      <c r="AB83" s="72" t="n">
        <f aca="false">MAX(AB80,AB81,AB82)</f>
        <v>1.42106378775681</v>
      </c>
      <c r="AC83" s="72" t="n">
        <f aca="false">MAX(AC80,AC81,AC82)</f>
        <v>1.69767139244238</v>
      </c>
      <c r="AD83" s="72" t="n">
        <f aca="false">MAX(AD80,AD81,AD82)</f>
        <v>3.96123324903222</v>
      </c>
      <c r="AE83" s="72" t="n">
        <f aca="false">MAX(AE80,AE81,AE82)</f>
        <v>1.69767139244238</v>
      </c>
      <c r="AF83" s="72" t="n">
        <f aca="false">MAX(AF80,AF81,AF82)</f>
        <v>3.96123324903222</v>
      </c>
      <c r="AG83" s="72" t="n">
        <f aca="false">MAX(AG80,AG81,AG82)</f>
        <v>1.69767139244238</v>
      </c>
      <c r="AH83" s="72" t="n">
        <f aca="false">MAX(AH80,AH81,AH82)</f>
        <v>3.96123324903222</v>
      </c>
    </row>
    <row r="84" customFormat="false" ht="15" hidden="false" customHeight="false" outlineLevel="0" collapsed="false">
      <c r="A84" s="60" t="s">
        <v>783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  <c r="R84" s="60" t="str">
        <f aca="false">IF(R83=R80,"算力",IF(R83=R81,"KV 頻寬","EP 通訊"))</f>
        <v>算力</v>
      </c>
      <c r="S84" s="60" t="str">
        <f aca="false">IF(S83=S80,"算力",IF(S83=S81,"KV 頻寬","EP 通訊"))</f>
        <v>算力</v>
      </c>
      <c r="T84" s="60" t="str">
        <f aca="false">IF(T83=T80,"算力",IF(T83=T81,"KV 頻寬","EP 通訊"))</f>
        <v>算力</v>
      </c>
      <c r="U84" s="60" t="str">
        <f aca="false">IF(U83=U80,"算力",IF(U83=U81,"KV 頻寬","EP 通訊"))</f>
        <v>算力</v>
      </c>
      <c r="V84" s="60" t="str">
        <f aca="false">IF(V83=V80,"算力",IF(V83=V81,"KV 頻寬","EP 通訊"))</f>
        <v>算力</v>
      </c>
      <c r="W84" s="60" t="str">
        <f aca="false">IF(W83=W80,"算力",IF(W83=W81,"KV 頻寬","EP 通訊"))</f>
        <v>算力</v>
      </c>
      <c r="X84" s="60" t="str">
        <f aca="false">IF(X83=X80,"算力",IF(X83=X81,"KV 頻寬","EP 通訊"))</f>
        <v>算力</v>
      </c>
      <c r="Y84" s="60" t="str">
        <f aca="false">IF(Y83=Y80,"算力",IF(Y83=Y81,"KV 頻寬","EP 通訊"))</f>
        <v>算力</v>
      </c>
      <c r="Z84" s="60" t="str">
        <f aca="false">IF(Z83=Z80,"算力",IF(Z83=Z81,"KV 頻寬","EP 通訊"))</f>
        <v>算力</v>
      </c>
      <c r="AA84" s="60" t="str">
        <f aca="false">IF(AA83=AA80,"算力",IF(AA83=AA81,"KV 頻寬","EP 通訊"))</f>
        <v>算力</v>
      </c>
      <c r="AB84" s="60" t="str">
        <f aca="false">IF(AB83=AB80,"算力",IF(AB83=AB81,"KV 頻寬","EP 通訊"))</f>
        <v>算力</v>
      </c>
      <c r="AC84" s="60" t="str">
        <f aca="false">IF(AC83=AC80,"算力",IF(AC83=AC81,"KV 頻寬","EP 通訊"))</f>
        <v>算力</v>
      </c>
      <c r="AD84" s="60" t="str">
        <f aca="false">IF(AD83=AD80,"算力",IF(AD83=AD81,"KV 頻寬","EP 通訊"))</f>
        <v>算力</v>
      </c>
      <c r="AE84" s="60" t="str">
        <f aca="false">IF(AE83=AE80,"算力",IF(AE83=AE81,"KV 頻寬","EP 通訊"))</f>
        <v>算力</v>
      </c>
      <c r="AF84" s="60" t="str">
        <f aca="false">IF(AF83=AF80,"算力",IF(AF83=AF81,"KV 頻寬","EP 通訊"))</f>
        <v>算力</v>
      </c>
      <c r="AG84" s="60" t="str">
        <f aca="false">IF(AG83=AG80,"算力",IF(AG83=AG81,"KV 頻寬","EP 通訊"))</f>
        <v>算力</v>
      </c>
      <c r="AH84" s="60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1" t="s">
        <v>784</v>
      </c>
      <c r="B85" s="60" t="s">
        <v>508</v>
      </c>
      <c r="C85" s="74" t="n">
        <f aca="false">(1000*C49/C41-C79)/C83</f>
        <v>62.0883339972837</v>
      </c>
      <c r="D85" s="74" t="n">
        <f aca="false">(1000*D49/D41-D79)/D83</f>
        <v>22.7672272858794</v>
      </c>
      <c r="E85" s="74" t="n">
        <f aca="false">(1000*E49/E41-E79)/E83</f>
        <v>31.0441669986419</v>
      </c>
      <c r="F85" s="74" t="n">
        <f aca="false">(1000*F49/F41-F79)/F83</f>
        <v>22.7672272858794</v>
      </c>
      <c r="G85" s="74" t="n">
        <f aca="false">(1000*G49/G41-G79)/G83</f>
        <v>93.1325009959256</v>
      </c>
      <c r="H85" s="74" t="n">
        <f aca="false">(1000*H49/H41-H79)/H83</f>
        <v>22.7672272858794</v>
      </c>
      <c r="I85" s="74" t="n">
        <f aca="false">(1000*I49/I41-I79)/I83</f>
        <v>69.3475870508293</v>
      </c>
      <c r="J85" s="74" t="n">
        <f aca="false">(1000*J49/J41-J79)/J83</f>
        <v>22.7672272858794</v>
      </c>
      <c r="K85" s="74" t="n">
        <f aca="false">(1000*K49/K41-K79)/K83</f>
        <v>49.9895789080411</v>
      </c>
      <c r="L85" s="74" t="n">
        <f aca="false">(1000*L49/L41-L79)/L83</f>
        <v>22.7672272858794</v>
      </c>
      <c r="M85" s="74" t="n">
        <f aca="false">(1000*M49/M41-M79)/M83</f>
        <v>88.6976199961196</v>
      </c>
      <c r="N85" s="74" t="n">
        <f aca="false">(1000*N49/N41-N79)/N83</f>
        <v>22.7672272858794</v>
      </c>
      <c r="O85" s="74" t="n">
        <f aca="false">(1000*O49/O41-O79)/O83</f>
        <v>119.21870220127</v>
      </c>
      <c r="P85" s="74" t="n">
        <f aca="false">(1000*P49/P41-P79)/P83</f>
        <v>47.2516708018734</v>
      </c>
      <c r="Q85" s="74" t="n">
        <f aca="false">(1000*Q49/Q41-Q79)/Q83</f>
        <v>30.0953278030516</v>
      </c>
      <c r="R85" s="74" t="n">
        <f aca="false">(1000*R49/R41-R79)/R83</f>
        <v>9.0559389169228</v>
      </c>
      <c r="S85" s="74" t="n">
        <f aca="false">(1000*S49/S41-S79)/S83</f>
        <v>49.2052442546399</v>
      </c>
      <c r="T85" s="74" t="n">
        <f aca="false">(1000*T49/T41-T79)/T83</f>
        <v>17.2459031104607</v>
      </c>
      <c r="U85" s="74" t="n">
        <f aca="false">(1000*U49/U41-U79)/U83</f>
        <v>77.2088230789861</v>
      </c>
      <c r="V85" s="74" t="n">
        <f aca="false">(1000*V49/V41-V79)/V83</f>
        <v>29.2474368923233</v>
      </c>
      <c r="W85" s="74" t="n">
        <f aca="false">(1000*W49/W41-W79)/W83</f>
        <v>62.4534924532927</v>
      </c>
      <c r="X85" s="74" t="n">
        <f aca="false">(1000*X49/X41-X79)/X83</f>
        <v>22.9011275700082</v>
      </c>
      <c r="Y85" s="74" t="n">
        <f aca="false">(1000*Y49/Y41-Y79)/Y83</f>
        <v>60.6694251269508</v>
      </c>
      <c r="Z85" s="74" t="n">
        <f aca="false">(1000*Z49/Z41-Z79)/Z83</f>
        <v>22.2469263103333</v>
      </c>
      <c r="AA85" s="74" t="n">
        <f aca="false">(1000*AA49/AA41-AA79)/AA83</f>
        <v>36.202580744553</v>
      </c>
      <c r="AB85" s="74" t="n">
        <f aca="false">(1000*AB49/AB41-AB79)/AB83</f>
        <v>12.8259506485961</v>
      </c>
      <c r="AC85" s="74" t="n">
        <f aca="false">(1000*AC49/AC41-AC79)/AC83</f>
        <v>14.1753406636192</v>
      </c>
      <c r="AD85" s="74" t="n">
        <f aca="false">(1000*AD49/AD41-AD79)/AD83</f>
        <v>3.6950982485788</v>
      </c>
      <c r="AE85" s="74" t="n">
        <f aca="false">(1000*AE49/AE41-AE79)/AE83</f>
        <v>14.1753406636192</v>
      </c>
      <c r="AF85" s="74" t="n">
        <f aca="false">(1000*AF49/AF41-AF79)/AF83</f>
        <v>3.6950982485788</v>
      </c>
      <c r="AG85" s="74" t="n">
        <f aca="false">(1000*AG49/AG41-AG79)/AG83</f>
        <v>14.1753406636192</v>
      </c>
      <c r="AH85" s="74" t="n">
        <f aca="false">(1000*AH49/AH41-AH79)/AH83</f>
        <v>3.6950982485788</v>
      </c>
    </row>
    <row r="86" customFormat="false" ht="15" hidden="false" customHeight="false" outlineLevel="0" collapsed="false">
      <c r="A86" s="61" t="s">
        <v>785</v>
      </c>
      <c r="B86" s="60" t="s">
        <v>508</v>
      </c>
      <c r="C86" s="67" t="n">
        <f aca="false">(C69-C72)*1000000000/(C34*C45)</f>
        <v>3059.19076406613</v>
      </c>
      <c r="D86" s="67" t="n">
        <f aca="false">(D69-D72)*1000000000/(D34*D45)</f>
        <v>3059.19076406613</v>
      </c>
      <c r="E86" s="67" t="n">
        <f aca="false">(E69-E72)*1000000000/(E34*E45)</f>
        <v>3059.19076406613</v>
      </c>
      <c r="F86" s="67" t="n">
        <f aca="false">(F69-F72)*1000000000/(F34*F45)</f>
        <v>3059.19076406613</v>
      </c>
      <c r="G86" s="67" t="n">
        <f aca="false">(G69-G72)*1000000000/(G34*G45)</f>
        <v>3059.19076406613</v>
      </c>
      <c r="H86" s="67" t="n">
        <f aca="false">(H69-H72)*1000000000/(H34*H45)</f>
        <v>3059.19076406613</v>
      </c>
      <c r="I86" s="67" t="n">
        <f aca="false">(I69-I72)*1000000000/(I34*I45)</f>
        <v>3059.19076406613</v>
      </c>
      <c r="J86" s="67" t="n">
        <f aca="false">(J69-J72)*1000000000/(J34*J45)</f>
        <v>3059.19076406613</v>
      </c>
      <c r="K86" s="67" t="n">
        <f aca="false">(K69-K72)*1000000000/(K34*K45)</f>
        <v>3059.19076406613</v>
      </c>
      <c r="L86" s="67" t="n">
        <f aca="false">(L69-L72)*1000000000/(L34*L45)</f>
        <v>3059.19076406613</v>
      </c>
      <c r="M86" s="67" t="n">
        <f aca="false">(M69-M72)*1000000000/(M34*M45)</f>
        <v>3059.19076406613</v>
      </c>
      <c r="N86" s="67" t="n">
        <f aca="false">(N69-N72)*1000000000/(N34*N45)</f>
        <v>3059.19076406613</v>
      </c>
      <c r="O86" s="67" t="n">
        <f aca="false">(O69-O72)*1000000000/(O34*O45)</f>
        <v>3059.19076406613</v>
      </c>
      <c r="P86" s="67" t="n">
        <f aca="false">(P69-P72)*1000000000/(P34*P45)</f>
        <v>3059.19076406613</v>
      </c>
      <c r="Q86" s="67" t="n">
        <f aca="false">(Q69-Q72)*1000000000/(Q34*Q45)</f>
        <v>3059.19076406613</v>
      </c>
      <c r="R86" s="67" t="n">
        <f aca="false">(R69-R72)*1000000000/(R34*R45)</f>
        <v>3059.19076406613</v>
      </c>
      <c r="S86" s="67" t="n">
        <f aca="false">(S69-S72)*1000000000/(S34*S45)</f>
        <v>3059.19076406613</v>
      </c>
      <c r="T86" s="67" t="n">
        <f aca="false">(T69-T72)*1000000000/(T34*T45)</f>
        <v>3059.19076406613</v>
      </c>
      <c r="U86" s="67" t="n">
        <f aca="false">(U69-U72)*1000000000/(U34*U45)</f>
        <v>3059.19076406613</v>
      </c>
      <c r="V86" s="67" t="n">
        <f aca="false">(V69-V72)*1000000000/(V34*V45)</f>
        <v>3059.19076406613</v>
      </c>
      <c r="W86" s="67" t="n">
        <f aca="false">(W69-W72)*1000000000/(W34*W45)</f>
        <v>10401.2485978248</v>
      </c>
      <c r="X86" s="67" t="n">
        <f aca="false">(X69-X72)*1000000000/(X34*X45)</f>
        <v>10401.2485978248</v>
      </c>
      <c r="Y86" s="67" t="n">
        <f aca="false">(Y69-Y72)*1000000000/(Y34*Y45)</f>
        <v>800.096045986525</v>
      </c>
      <c r="Z86" s="67" t="n">
        <f aca="false">(Z69-Z72)*1000000000/(Z34*Z45)</f>
        <v>800.096045986525</v>
      </c>
      <c r="AA86" s="67" t="n">
        <f aca="false">(AA69-AA72)*1000000000/(AA34*AA45)</f>
        <v>3059.19076406613</v>
      </c>
      <c r="AB86" s="67" t="n">
        <f aca="false">(AB69-AB72)*1000000000/(AB34*AB45)</f>
        <v>3059.19076406613</v>
      </c>
      <c r="AC86" s="67" t="n">
        <f aca="false">(AC69-AC72)*1000000000/(AC34*AC45)</f>
        <v>269.80500930681</v>
      </c>
      <c r="AD86" s="67" t="n">
        <f aca="false">(AD69-AD72)*1000000000/(AD34*AD45)</f>
        <v>269.80500930681</v>
      </c>
      <c r="AE86" s="67" t="n">
        <f aca="false">(AE69-AE72)*1000000000/(AE34*AE45)</f>
        <v>70.1493024197706</v>
      </c>
      <c r="AF86" s="67" t="n">
        <f aca="false">(AF69-AF72)*1000000000/(AF34*AF45)</f>
        <v>70.1493024197706</v>
      </c>
      <c r="AG86" s="67" t="n">
        <f aca="false">(AG69-AG72)*1000000000/(AG34*AG45)</f>
        <v>19.7294913055605</v>
      </c>
      <c r="AH86" s="67" t="n">
        <f aca="false">(AH69-AH72)*1000000000/(AH34*AH45)</f>
        <v>19.7294913055605</v>
      </c>
    </row>
    <row r="87" customFormat="false" ht="15" hidden="false" customHeight="false" outlineLevel="0" collapsed="false">
      <c r="A87" s="60" t="s">
        <v>786</v>
      </c>
      <c r="B87" s="60" t="s">
        <v>508</v>
      </c>
      <c r="C87" s="112" t="n">
        <f aca="false">MAX(0,MIN(C85,C86))</f>
        <v>62.0883339972837</v>
      </c>
      <c r="D87" s="112" t="n">
        <f aca="false">MAX(0,MIN(D85,D86))</f>
        <v>22.7672272858794</v>
      </c>
      <c r="E87" s="112" t="n">
        <f aca="false">MAX(0,MIN(E85,E86))</f>
        <v>31.0441669986419</v>
      </c>
      <c r="F87" s="112" t="n">
        <f aca="false">MAX(0,MIN(F85,F86))</f>
        <v>22.7672272858794</v>
      </c>
      <c r="G87" s="112" t="n">
        <f aca="false">MAX(0,MIN(G85,G86))</f>
        <v>93.1325009959256</v>
      </c>
      <c r="H87" s="112" t="n">
        <f aca="false">MAX(0,MIN(H85,H86))</f>
        <v>22.7672272858794</v>
      </c>
      <c r="I87" s="112" t="n">
        <f aca="false">MAX(0,MIN(I85,I86))</f>
        <v>69.3475870508293</v>
      </c>
      <c r="J87" s="112" t="n">
        <f aca="false">MAX(0,MIN(J85,J86))</f>
        <v>22.7672272858794</v>
      </c>
      <c r="K87" s="112" t="n">
        <f aca="false">MAX(0,MIN(K85,K86))</f>
        <v>49.9895789080411</v>
      </c>
      <c r="L87" s="112" t="n">
        <f aca="false">MAX(0,MIN(L85,L86))</f>
        <v>22.7672272858794</v>
      </c>
      <c r="M87" s="112" t="n">
        <f aca="false">MAX(0,MIN(M85,M86))</f>
        <v>88.6976199961196</v>
      </c>
      <c r="N87" s="112" t="n">
        <f aca="false">MAX(0,MIN(N85,N86))</f>
        <v>22.7672272858794</v>
      </c>
      <c r="O87" s="112" t="n">
        <f aca="false">MAX(0,MIN(O85,O86))</f>
        <v>119.21870220127</v>
      </c>
      <c r="P87" s="112" t="n">
        <f aca="false">MAX(0,MIN(P85,P86))</f>
        <v>47.2516708018734</v>
      </c>
      <c r="Q87" s="112" t="n">
        <f aca="false">MAX(0,MIN(Q85,Q86))</f>
        <v>30.0953278030516</v>
      </c>
      <c r="R87" s="112" t="n">
        <f aca="false">MAX(0,MIN(R85,R86))</f>
        <v>9.0559389169228</v>
      </c>
      <c r="S87" s="112" t="n">
        <f aca="false">MAX(0,MIN(S85,S86))</f>
        <v>49.2052442546399</v>
      </c>
      <c r="T87" s="112" t="n">
        <f aca="false">MAX(0,MIN(T85,T86))</f>
        <v>17.2459031104607</v>
      </c>
      <c r="U87" s="112" t="n">
        <f aca="false">MAX(0,MIN(U85,U86))</f>
        <v>77.2088230789861</v>
      </c>
      <c r="V87" s="112" t="n">
        <f aca="false">MAX(0,MIN(V85,V86))</f>
        <v>29.2474368923233</v>
      </c>
      <c r="W87" s="112" t="n">
        <f aca="false">MAX(0,MIN(W85,W86))</f>
        <v>62.4534924532927</v>
      </c>
      <c r="X87" s="112" t="n">
        <f aca="false">MAX(0,MIN(X85,X86))</f>
        <v>22.9011275700082</v>
      </c>
      <c r="Y87" s="112" t="n">
        <f aca="false">MAX(0,MIN(Y85,Y86))</f>
        <v>60.6694251269508</v>
      </c>
      <c r="Z87" s="112" t="n">
        <f aca="false">MAX(0,MIN(Z85,Z86))</f>
        <v>22.2469263103333</v>
      </c>
      <c r="AA87" s="112" t="n">
        <f aca="false">MAX(0,MIN(AA85,AA86))</f>
        <v>36.202580744553</v>
      </c>
      <c r="AB87" s="112" t="n">
        <f aca="false">MAX(0,MIN(AB85,AB86))</f>
        <v>12.8259506485961</v>
      </c>
      <c r="AC87" s="112" t="n">
        <f aca="false">MAX(0,MIN(AC85,AC86))</f>
        <v>14.1753406636192</v>
      </c>
      <c r="AD87" s="112" t="n">
        <f aca="false">MAX(0,MIN(AD85,AD86))</f>
        <v>3.6950982485788</v>
      </c>
      <c r="AE87" s="112" t="n">
        <f aca="false">MAX(0,MIN(AE85,AE86))</f>
        <v>14.1753406636192</v>
      </c>
      <c r="AF87" s="112" t="n">
        <f aca="false">MAX(0,MIN(AF85,AF86))</f>
        <v>3.6950982485788</v>
      </c>
      <c r="AG87" s="112" t="n">
        <f aca="false">MAX(0,MIN(AG85,AG86))</f>
        <v>14.1753406636192</v>
      </c>
      <c r="AH87" s="112" t="n">
        <f aca="false">MAX(0,MIN(AH85,AH86))</f>
        <v>3.6950982485788</v>
      </c>
    </row>
    <row r="88" customFormat="false" ht="15" hidden="false" customHeight="false" outlineLevel="0" collapsed="false">
      <c r="A88" s="61" t="s">
        <v>787</v>
      </c>
      <c r="B88" s="61" t="s">
        <v>372</v>
      </c>
      <c r="C88" s="70" t="n">
        <f aca="false">IF(C87&gt;0,C87*C49/((C79+C87*C83)/1000),0)</f>
        <v>4035.74170982344</v>
      </c>
      <c r="D88" s="70" t="n">
        <f aca="false">IF(D87&gt;0,D87*D49/((D79+D87*D83)/1000),0)</f>
        <v>1479.86977358216</v>
      </c>
      <c r="E88" s="70" t="n">
        <f aca="false">IF(E87&gt;0,E87*E49/((E79+E87*E83)/1000),0)</f>
        <v>2017.87085491172</v>
      </c>
      <c r="F88" s="70" t="n">
        <f aca="false">IF(F87&gt;0,F87*F49/((F79+F87*F83)/1000),0)</f>
        <v>1479.86977358216</v>
      </c>
      <c r="G88" s="70" t="n">
        <f aca="false">IF(G87&gt;0,G87*G49/((G79+G87*G83)/1000),0)</f>
        <v>6053.61256473516</v>
      </c>
      <c r="H88" s="70" t="n">
        <f aca="false">IF(H87&gt;0,H87*H49/((H79+H87*H83)/1000),0)</f>
        <v>1479.86977358216</v>
      </c>
      <c r="I88" s="70" t="n">
        <f aca="false">IF(I87&gt;0,I87*I49/((I79+I87*I83)/1000),0)</f>
        <v>4507.5931583039</v>
      </c>
      <c r="J88" s="70" t="n">
        <f aca="false">IF(J87&gt;0,J87*J49/((J79+J87*J83)/1000),0)</f>
        <v>1479.86977358216</v>
      </c>
      <c r="K88" s="70" t="n">
        <f aca="false">IF(K87&gt;0,K87*K49/((K79+K87*K83)/1000),0)</f>
        <v>3249.32262902267</v>
      </c>
      <c r="L88" s="70" t="n">
        <f aca="false">IF(L87&gt;0,L87*L49/((L79+L87*L83)/1000),0)</f>
        <v>1479.86977358216</v>
      </c>
      <c r="M88" s="70" t="n">
        <f aca="false">IF(M87&gt;0,M87*M49/((M79+M87*M83)/1000),0)</f>
        <v>5765.34529974777</v>
      </c>
      <c r="N88" s="70" t="n">
        <f aca="false">IF(N87&gt;0,N87*N49/((N79+N87*N83)/1000),0)</f>
        <v>1479.86977358216</v>
      </c>
      <c r="O88" s="70" t="n">
        <f aca="false">IF(O87&gt;0,O87*O49/((O79+O87*O83)/1000),0)</f>
        <v>4768.74808805079</v>
      </c>
      <c r="P88" s="70" t="n">
        <f aca="false">IF(P87&gt;0,P87*P49/((P79+P87*P83)/1000),0)</f>
        <v>1890.06683207494</v>
      </c>
      <c r="Q88" s="70" t="n">
        <f aca="false">IF(Q87&gt;0,Q87*Q49/((Q79+Q87*Q83)/1000),0)</f>
        <v>3009.53278030516</v>
      </c>
      <c r="R88" s="70" t="n">
        <f aca="false">IF(R87&gt;0,R87*R49/((R79+R87*R83)/1000),0)</f>
        <v>905.59389169228</v>
      </c>
      <c r="S88" s="70" t="n">
        <f aca="false">IF(S87&gt;0,S87*S49/((S79+S87*S83)/1000),0)</f>
        <v>3198.34087655159</v>
      </c>
      <c r="T88" s="70" t="n">
        <f aca="false">IF(T87&gt;0,T87*T49/((T79+T87*T83)/1000),0)</f>
        <v>1120.98370217994</v>
      </c>
      <c r="U88" s="70" t="n">
        <f aca="false">IF(U87&gt;0,U87*U49/((U79+U87*U83)/1000),0)</f>
        <v>5018.5735001341</v>
      </c>
      <c r="V88" s="70" t="n">
        <f aca="false">IF(V87&gt;0,V87*V49/((V79+V87*V83)/1000),0)</f>
        <v>1901.08339800102</v>
      </c>
      <c r="W88" s="70" t="n">
        <f aca="false">IF(W87&gt;0,W87*W49/((W79+W87*W83)/1000),0)</f>
        <v>4059.47700946403</v>
      </c>
      <c r="X88" s="70" t="n">
        <f aca="false">IF(X87&gt;0,X87*X49/((X79+X87*X83)/1000),0)</f>
        <v>1488.57329205053</v>
      </c>
      <c r="Y88" s="70" t="n">
        <f aca="false">IF(Y87&gt;0,Y87*Y49/((Y79+Y87*Y83)/1000),0)</f>
        <v>3943.5126332518</v>
      </c>
      <c r="Z88" s="70" t="n">
        <f aca="false">IF(Z87&gt;0,Z87*Z49/((Z79+Z87*Z83)/1000),0)</f>
        <v>1446.05021017167</v>
      </c>
      <c r="AA88" s="70" t="n">
        <f aca="false">IF(AA87&gt;0,AA87*AA49/((AA79+AA87*AA83)/1000),0)</f>
        <v>2353.16774839595</v>
      </c>
      <c r="AB88" s="70" t="n">
        <f aca="false">IF(AB87&gt;0,AB87*AB49/((AB79+AB87*AB83)/1000),0)</f>
        <v>833.686792158745</v>
      </c>
      <c r="AC88" s="70" t="n">
        <f aca="false">IF(AC87&gt;0,AC87*AC49/((AC79+AC87*AC83)/1000),0)</f>
        <v>779.643736499055</v>
      </c>
      <c r="AD88" s="70" t="n">
        <f aca="false">IF(AD87&gt;0,AD87*AD49/((AD79+AD87*AD83)/1000),0)</f>
        <v>203.230403671834</v>
      </c>
      <c r="AE88" s="70" t="n">
        <f aca="false">IF(AE87&gt;0,AE87*AE49/((AE79+AE87*AE83)/1000),0)</f>
        <v>779.643736499055</v>
      </c>
      <c r="AF88" s="70" t="n">
        <f aca="false">IF(AF87&gt;0,AF87*AF49/((AF79+AF87*AF83)/1000),0)</f>
        <v>203.230403671834</v>
      </c>
      <c r="AG88" s="70" t="n">
        <f aca="false">IF(AG87&gt;0,AG87*AG49/((AG79+AG87*AG83)/1000),0)</f>
        <v>779.643736499055</v>
      </c>
      <c r="AH88" s="70" t="n">
        <f aca="false">IF(AH87&gt;0,AH87*AH49/((AH79+AH87*AH83)/1000),0)</f>
        <v>203.230403671834</v>
      </c>
    </row>
    <row r="89" customFormat="false" ht="15" hidden="false" customHeight="false" outlineLevel="0" collapsed="false">
      <c r="A89" s="60" t="s">
        <v>788</v>
      </c>
      <c r="B89" s="61" t="s">
        <v>372</v>
      </c>
      <c r="C89" s="67" t="n">
        <f aca="false">IF(C87&gt;0,C49/((C79+C87*C83)/1000),0)</f>
        <v>65</v>
      </c>
      <c r="D89" s="67" t="n">
        <f aca="false">IF(D87&gt;0,D49/((D79+D87*D83)/1000),0)</f>
        <v>65</v>
      </c>
      <c r="E89" s="67" t="n">
        <f aca="false">IF(E87&gt;0,E49/((E79+E87*E83)/1000),0)</f>
        <v>65</v>
      </c>
      <c r="F89" s="67" t="n">
        <f aca="false">IF(F87&gt;0,F49/((F79+F87*F83)/1000),0)</f>
        <v>65</v>
      </c>
      <c r="G89" s="67" t="n">
        <f aca="false">IF(G87&gt;0,G49/((G79+G87*G83)/1000),0)</f>
        <v>65</v>
      </c>
      <c r="H89" s="67" t="n">
        <f aca="false">IF(H87&gt;0,H49/((H79+H87*H83)/1000),0)</f>
        <v>65</v>
      </c>
      <c r="I89" s="67" t="n">
        <f aca="false">IF(I87&gt;0,I49/((I79+I87*I83)/1000),0)</f>
        <v>65</v>
      </c>
      <c r="J89" s="67" t="n">
        <f aca="false">IF(J87&gt;0,J49/((J79+J87*J83)/1000),0)</f>
        <v>65</v>
      </c>
      <c r="K89" s="67" t="n">
        <f aca="false">IF(K87&gt;0,K49/((K79+K87*K83)/1000),0)</f>
        <v>65</v>
      </c>
      <c r="L89" s="67" t="n">
        <f aca="false">IF(L87&gt;0,L49/((L79+L87*L83)/1000),0)</f>
        <v>65</v>
      </c>
      <c r="M89" s="67" t="n">
        <f aca="false">IF(M87&gt;0,M49/((M79+M87*M83)/1000),0)</f>
        <v>65</v>
      </c>
      <c r="N89" s="67" t="n">
        <f aca="false">IF(N87&gt;0,N49/((N79+N87*N83)/1000),0)</f>
        <v>65</v>
      </c>
      <c r="O89" s="67" t="n">
        <f aca="false">IF(O87&gt;0,O49/((O79+O87*O83)/1000),0)</f>
        <v>40</v>
      </c>
      <c r="P89" s="67" t="n">
        <f aca="false">IF(P87&gt;0,P49/((P79+P87*P83)/1000),0)</f>
        <v>40</v>
      </c>
      <c r="Q89" s="67" t="n">
        <f aca="false">IF(Q87&gt;0,Q49/((Q79+Q87*Q83)/1000),0)</f>
        <v>100</v>
      </c>
      <c r="R89" s="67" t="n">
        <f aca="false">IF(R87&gt;0,R49/((R79+R87*R83)/1000),0)</f>
        <v>100</v>
      </c>
      <c r="S89" s="67" t="n">
        <f aca="false">IF(S87&gt;0,S49/((S79+S87*S83)/1000),0)</f>
        <v>65</v>
      </c>
      <c r="T89" s="67" t="n">
        <f aca="false">IF(T87&gt;0,T49/((T79+T87*T83)/1000),0)</f>
        <v>65</v>
      </c>
      <c r="U89" s="67" t="n">
        <f aca="false">IF(U87&gt;0,U49/((U79+U87*U83)/1000),0)</f>
        <v>65</v>
      </c>
      <c r="V89" s="67" t="n">
        <f aca="false">IF(V87&gt;0,V49/((V79+V87*V83)/1000),0)</f>
        <v>65</v>
      </c>
      <c r="W89" s="67" t="n">
        <f aca="false">IF(W87&gt;0,W49/((W79+W87*W83)/1000),0)</f>
        <v>65</v>
      </c>
      <c r="X89" s="67" t="n">
        <f aca="false">IF(X87&gt;0,X49/((X79+X87*X83)/1000),0)</f>
        <v>65</v>
      </c>
      <c r="Y89" s="67" t="n">
        <f aca="false">IF(Y87&gt;0,Y49/((Y79+Y87*Y83)/1000),0)</f>
        <v>65</v>
      </c>
      <c r="Z89" s="67" t="n">
        <f aca="false">IF(Z87&gt;0,Z49/((Z79+Z87*Z83)/1000),0)</f>
        <v>65</v>
      </c>
      <c r="AA89" s="67" t="n">
        <f aca="false">IF(AA87&gt;0,AA49/((AA79+AA87*AA83)/1000),0)</f>
        <v>65</v>
      </c>
      <c r="AB89" s="67" t="n">
        <f aca="false">IF(AB87&gt;0,AB49/((AB79+AB87*AB83)/1000),0)</f>
        <v>65</v>
      </c>
      <c r="AC89" s="67" t="n">
        <f aca="false">IF(AC87&gt;0,AC49/((AC79+AC87*AC83)/1000),0)</f>
        <v>55</v>
      </c>
      <c r="AD89" s="67" t="n">
        <f aca="false">IF(AD87&gt;0,AD49/((AD79+AD87*AD83)/1000),0)</f>
        <v>55</v>
      </c>
      <c r="AE89" s="67" t="n">
        <f aca="false">IF(AE87&gt;0,AE49/((AE79+AE87*AE83)/1000),0)</f>
        <v>55</v>
      </c>
      <c r="AF89" s="67" t="n">
        <f aca="false">IF(AF87&gt;0,AF49/((AF79+AF87*AF83)/1000),0)</f>
        <v>55</v>
      </c>
      <c r="AG89" s="67" t="n">
        <f aca="false">IF(AG87&gt;0,AG49/((AG79+AG87*AG83)/1000),0)</f>
        <v>55</v>
      </c>
      <c r="AH89" s="67" t="n">
        <f aca="false">IF(AH87&gt;0,AH49/((AH79+AH87*AH83)/1000),0)</f>
        <v>55</v>
      </c>
    </row>
    <row r="90" customFormat="false" ht="15" hidden="false" customHeight="false" outlineLevel="0" collapsed="false">
      <c r="A90" s="60" t="s">
        <v>789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113" t="str">
        <f aca="false">IF(R87&lt;=0,"SLO 不可達",IF(R77&lt;&gt;"是","TTFT 不可達",IF(R85&lt;=R86,"SLO（"&amp;R84&amp;"）","HBM 容量")))</f>
        <v>SLO（算力）</v>
      </c>
      <c r="S90" s="113" t="str">
        <f aca="false">IF(S87&lt;=0,"SLO 不可達",IF(S77&lt;&gt;"是","TTFT 不可達",IF(S85&lt;=S86,"SLO（"&amp;S84&amp;"）","HBM 容量")))</f>
        <v>SLO（算力）</v>
      </c>
      <c r="T90" s="113" t="str">
        <f aca="false">IF(T87&lt;=0,"SLO 不可達",IF(T77&lt;&gt;"是","TTFT 不可達",IF(T85&lt;=T86,"SLO（"&amp;T84&amp;"）","HBM 容量")))</f>
        <v>SLO（算力）</v>
      </c>
      <c r="U90" s="113" t="str">
        <f aca="false">IF(U87&lt;=0,"SLO 不可達",IF(U77&lt;&gt;"是","TTFT 不可達",IF(U85&lt;=U86,"SLO（"&amp;U84&amp;"）","HBM 容量")))</f>
        <v>SLO（算力）</v>
      </c>
      <c r="V90" s="113" t="str">
        <f aca="false">IF(V87&lt;=0,"SLO 不可達",IF(V77&lt;&gt;"是","TTFT 不可達",IF(V85&lt;=V86,"SLO（"&amp;V84&amp;"）","HBM 容量")))</f>
        <v>SLO（算力）</v>
      </c>
      <c r="W90" s="113" t="str">
        <f aca="false">IF(W87&lt;=0,"SLO 不可達",IF(W77&lt;&gt;"是","TTFT 不可達",IF(W85&lt;=W86,"SLO（"&amp;W84&amp;"）","HBM 容量")))</f>
        <v>SLO（算力）</v>
      </c>
      <c r="X90" s="113" t="str">
        <f aca="false">IF(X87&lt;=0,"SLO 不可達",IF(X77&lt;&gt;"是","TTFT 不可達",IF(X85&lt;=X86,"SLO（"&amp;X84&amp;"）","HBM 容量")))</f>
        <v>SLO（算力）</v>
      </c>
      <c r="Y90" s="113" t="str">
        <f aca="false">IF(Y87&lt;=0,"SLO 不可達",IF(Y77&lt;&gt;"是","TTFT 不可達",IF(Y85&lt;=Y86,"SLO（"&amp;Y84&amp;"）","HBM 容量")))</f>
        <v>SLO（算力）</v>
      </c>
      <c r="Z90" s="113" t="str">
        <f aca="false">IF(Z87&lt;=0,"SLO 不可達",IF(Z77&lt;&gt;"是","TTFT 不可達",IF(Z85&lt;=Z86,"SLO（"&amp;Z84&amp;"）","HBM 容量")))</f>
        <v>SLO（算力）</v>
      </c>
      <c r="AA90" s="113" t="str">
        <f aca="false">IF(AA87&lt;=0,"SLO 不可達",IF(AA77&lt;&gt;"是","TTFT 不可達",IF(AA85&lt;=AA86,"SLO（"&amp;AA84&amp;"）","HBM 容量")))</f>
        <v>SLO（算力）</v>
      </c>
      <c r="AB90" s="113" t="str">
        <f aca="false">IF(AB87&lt;=0,"SLO 不可達",IF(AB77&lt;&gt;"是","TTFT 不可達",IF(AB85&lt;=AB86,"SLO（"&amp;AB84&amp;"）","HBM 容量")))</f>
        <v>SLO（算力）</v>
      </c>
      <c r="AC90" s="113" t="str">
        <f aca="false">IF(AC87&lt;=0,"SLO 不可達",IF(AC77&lt;&gt;"是","TTFT 不可達",IF(AC85&lt;=AC86,"SLO（"&amp;AC84&amp;"）","HBM 容量")))</f>
        <v>SLO（算力）</v>
      </c>
      <c r="AD90" s="113" t="str">
        <f aca="false">IF(AD87&lt;=0,"SLO 不可達",IF(AD77&lt;&gt;"是","TTFT 不可達",IF(AD85&lt;=AD86,"SLO（"&amp;AD84&amp;"）","HBM 容量")))</f>
        <v>SLO（算力）</v>
      </c>
      <c r="AE90" s="113" t="str">
        <f aca="false">IF(AE87&lt;=0,"SLO 不可達",IF(AE77&lt;&gt;"是","TTFT 不可達",IF(AE85&lt;=AE86,"SLO（"&amp;AE84&amp;"）","HBM 容量")))</f>
        <v>SLO（算力）</v>
      </c>
      <c r="AF90" s="113" t="str">
        <f aca="false">IF(AF87&lt;=0,"SLO 不可達",IF(AF77&lt;&gt;"是","TTFT 不可達",IF(AF85&lt;=AF86,"SLO（"&amp;AF84&amp;"）","HBM 容量")))</f>
        <v>SLO（算力）</v>
      </c>
      <c r="AG90" s="113" t="str">
        <f aca="false">IF(AG87&lt;=0,"SLO 不可達",IF(AG77&lt;&gt;"是","TTFT 不可達",IF(AG85&lt;=AG86,"SLO（"&amp;AG84&amp;"）","HBM 容量")))</f>
        <v>SLO（算力）</v>
      </c>
      <c r="AH90" s="113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1" t="s">
        <v>790</v>
      </c>
      <c r="B91" s="61" t="s">
        <v>99</v>
      </c>
      <c r="C91" s="85" t="n">
        <f aca="false">C87*C34*C45/1000000000/C69</f>
        <v>0.0165335867776273</v>
      </c>
      <c r="D91" s="85" t="n">
        <f aca="false">D87*D34*D45/1000000000/D69</f>
        <v>0.00606271587241364</v>
      </c>
      <c r="E91" s="85" t="n">
        <f aca="false">E87*E34*E45/1000000000/E69</f>
        <v>0.00826679338881365</v>
      </c>
      <c r="F91" s="85" t="n">
        <f aca="false">F87*F34*F45/1000000000/F69</f>
        <v>0.00606271587241364</v>
      </c>
      <c r="G91" s="85" t="n">
        <f aca="false">G87*G34*G45/1000000000/G69</f>
        <v>0.0248003801664409</v>
      </c>
      <c r="H91" s="85" t="n">
        <f aca="false">H87*H34*H45/1000000000/H69</f>
        <v>0.00606271587241364</v>
      </c>
      <c r="I91" s="85" t="n">
        <f aca="false">I87*I34*I45/1000000000/I69</f>
        <v>0.0184666631315008</v>
      </c>
      <c r="J91" s="85" t="n">
        <f aca="false">J87*J34*J45/1000000000/J69</f>
        <v>0.00606271587241364</v>
      </c>
      <c r="K91" s="85" t="n">
        <f aca="false">K87*K34*K45/1000000000/K69</f>
        <v>0.0133117928545047</v>
      </c>
      <c r="L91" s="85" t="n">
        <f aca="false">L87*L34*L45/1000000000/L69</f>
        <v>0.00606271587241364</v>
      </c>
      <c r="M91" s="85" t="n">
        <f aca="false">M87*M34*M45/1000000000/M69</f>
        <v>0.0236194096823247</v>
      </c>
      <c r="N91" s="85" t="n">
        <f aca="false">N87*N34*N45/1000000000/N69</f>
        <v>0.00606271587241364</v>
      </c>
      <c r="O91" s="85" t="n">
        <f aca="false">O87*O34*O45/1000000000/O69</f>
        <v>0.0317469101111174</v>
      </c>
      <c r="P91" s="85" t="n">
        <f aca="false">P87*P34*P45/1000000000/P69</f>
        <v>0.0125827115867665</v>
      </c>
      <c r="Q91" s="85" t="n">
        <f aca="false">Q87*Q34*Q45/1000000000/Q69</f>
        <v>0.00801412571087285</v>
      </c>
      <c r="R91" s="85" t="n">
        <f aca="false">R87*R34*R45/1000000000/R69</f>
        <v>0.00241151827237603</v>
      </c>
      <c r="S91" s="85" t="n">
        <f aca="false">S87*S34*S45/1000000000/S69</f>
        <v>0.0131029313145047</v>
      </c>
      <c r="T91" s="85" t="n">
        <f aca="false">T87*T34*T45/1000000000/T69</f>
        <v>0.00459243495964682</v>
      </c>
      <c r="U91" s="85" t="n">
        <f aca="false">U87*U34*U45/1000000000/U69</f>
        <v>0.0205600423491914</v>
      </c>
      <c r="V91" s="85" t="n">
        <f aca="false">V87*V34*V45/1000000000/V69</f>
        <v>0.00778833968879824</v>
      </c>
      <c r="W91" s="85" t="n">
        <f aca="false">W87*W34*W45/1000000000/W69</f>
        <v>0.00489141921140357</v>
      </c>
      <c r="X91" s="85" t="n">
        <f aca="false">X87*X34*X45/1000000000/X69</f>
        <v>0.00179363892968064</v>
      </c>
      <c r="Y91" s="85" t="n">
        <f aca="false">Y87*Y34*Y45/1000000000/Y69</f>
        <v>0.0617719608527147</v>
      </c>
      <c r="Z91" s="85" t="n">
        <f aca="false">Z87*Z34*Z45/1000000000/Z69</f>
        <v>0.0226512161316767</v>
      </c>
      <c r="AA91" s="85" t="n">
        <f aca="false">AA87*AA34*AA45/1000000000/AA69</f>
        <v>0.00964043439046556</v>
      </c>
      <c r="AB91" s="85" t="n">
        <f aca="false">AB87*AB34*AB45/1000000000/AB69</f>
        <v>0.00341543981617232</v>
      </c>
      <c r="AC91" s="85" t="n">
        <f aca="false">AC87*AC34*AC45/1000000000/AC69</f>
        <v>0.0285149892759082</v>
      </c>
      <c r="AD91" s="85" t="n">
        <f aca="false">AD87*AD34*AD45/1000000000/AD69</f>
        <v>0.00743302679152335</v>
      </c>
      <c r="AE91" s="85" t="n">
        <f aca="false">AE87*AE34*AE45/1000000000/AE69</f>
        <v>0.10967303567657</v>
      </c>
      <c r="AF91" s="85" t="n">
        <f aca="false">AF87*AF34*AF45/1000000000/AF69</f>
        <v>0.0285885645827821</v>
      </c>
      <c r="AG91" s="85" t="n">
        <f aca="false">AG87*AG34*AG45/1000000000/AG69</f>
        <v>0.389948571294472</v>
      </c>
      <c r="AH91" s="85" t="n">
        <f aca="false">AH87*AH34*AH45/1000000000/AH69</f>
        <v>0.10164822962767</v>
      </c>
    </row>
    <row r="92" customFormat="false" ht="15" hidden="false" customHeight="false" outlineLevel="0" collapsed="false">
      <c r="A92" s="75" t="s">
        <v>791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</row>
    <row r="93" customFormat="false" ht="15" hidden="false" customHeight="false" outlineLevel="0" collapsed="false">
      <c r="A93" s="60" t="s">
        <v>792</v>
      </c>
      <c r="B93" s="61" t="s">
        <v>793</v>
      </c>
      <c r="C93" s="114" t="n">
        <f aca="false">IF(ISNUMBER(C88),IF(C88&gt;0,IF(C77="是",C43/C75+C44/C88,"TTFT 不可達"),"SLO 不可達"),"SLO 不可達")</f>
        <v>0.714671455168045</v>
      </c>
      <c r="D93" s="114" t="n">
        <f aca="false">IF(ISNUMBER(D88),IF(D88&gt;0,IF(D77="是",D43/D75+D44/D88,"TTFT 不可達"),"SLO 不可達"),"SLO 不可達")</f>
        <v>1.86738593450399</v>
      </c>
      <c r="E93" s="114" t="n">
        <f aca="false">IF(ISNUMBER(E88),IF(E88&gt;0,IF(E77="是",E43/E75+E44/E88,"TTFT 不可達"),"SLO 不可達"),"SLO 不可達")</f>
        <v>1.22213703330823</v>
      </c>
      <c r="F93" s="114" t="n">
        <f aca="false">IF(ISNUMBER(F88),IF(F88&gt;0,IF(F77="是",F43/F75+F44/F88,"TTFT 不可達"),"SLO 不可達"),"SLO 不可達")</f>
        <v>1.86738593450399</v>
      </c>
      <c r="G93" s="114" t="n">
        <f aca="false">IF(ISNUMBER(G88),IF(G88&gt;0,IF(G77="是",G43/G75+G44/G88,"TTFT 不可達"),"SLO 不可達"),"SLO 不可達")</f>
        <v>0.545516262454651</v>
      </c>
      <c r="H93" s="114" t="n">
        <f aca="false">IF(ISNUMBER(H88),IF(H88&gt;0,IF(H77="是",H43/H75+H44/H88,"TTFT 不可達"),"SLO 不可達"),"SLO 不可達")</f>
        <v>1.86738593450399</v>
      </c>
      <c r="I93" s="114" t="n">
        <f aca="false">IF(ISNUMBER(I88),IF(I88&gt;0,IF(I77="是",I43/I75+I44/I88,"TTFT 不可達"),"SLO 不可達"),"SLO 不可達")</f>
        <v>0.66155034159587</v>
      </c>
      <c r="J93" s="114" t="n">
        <f aca="false">IF(ISNUMBER(J88),IF(J88&gt;0,IF(J77="是",J43/J75+J44/J88,"TTFT 不可達"),"SLO 不可達"),"SLO 不可達")</f>
        <v>1.86738593450399</v>
      </c>
      <c r="K93" s="114" t="n">
        <f aca="false">IF(ISNUMBER(K88),IF(K88&gt;0,IF(K77="是",K43/K75+K44/K88,"TTFT 不可達"),"SLO 不可達"),"SLO 不可達")</f>
        <v>0.837491088384667</v>
      </c>
      <c r="L93" s="114" t="n">
        <f aca="false">IF(ISNUMBER(L88),IF(L88&gt;0,IF(L77="是",L43/L75+L44/L88,"TTFT 不可達"),"SLO 不可達"),"SLO 不可達")</f>
        <v>1.86738593450399</v>
      </c>
      <c r="M93" s="114" t="n">
        <f aca="false">IF(ISNUMBER(M88),IF(M88&gt;0,IF(M77="是",M43/M75+M44/M88,"TTFT 不可達"),"SLO 不可達"),"SLO 不可達")</f>
        <v>0.500270018617632</v>
      </c>
      <c r="N93" s="114" t="n">
        <f aca="false">IF(ISNUMBER(N88),IF(N88&gt;0,IF(N77="是",N43/N75+N44/N88,"TTFT 不可達"),"SLO 不可達"),"SLO 不可達")</f>
        <v>1.86738593450399</v>
      </c>
      <c r="O93" s="114" t="n">
        <f aca="false">IF(ISNUMBER(O88),IF(O88&gt;0,IF(O77="是",O43/O75+O44/O88,"TTFT 不可達"),"SLO 不可達"),"SLO 不可達")</f>
        <v>0.636668696657976</v>
      </c>
      <c r="P93" s="114" t="n">
        <f aca="false">IF(ISNUMBER(P88),IF(P88&gt;0,IF(P77="是",P43/P75+P44/P88,"TTFT 不可達"),"SLO 不可達"),"SLO 不可達")</f>
        <v>1.56703994770298</v>
      </c>
      <c r="Q93" s="114" t="n">
        <f aca="false">IF(ISNUMBER(Q88),IF(Q88&gt;0,IF(Q77="是",Q43/Q75+Q44/Q88,"TTFT 不可達"),"SLO 不可達"),"SLO 不可達")</f>
        <v>0.887710177696201</v>
      </c>
      <c r="R93" s="114" t="n">
        <f aca="false">IF(ISNUMBER(R88),IF(R88&gt;0,IF(R77="是",R43/R75+R44/R88,"TTFT 不可達"),"SLO 不可達"),"SLO 不可達")</f>
        <v>2.74497973257395</v>
      </c>
      <c r="S93" s="114" t="n">
        <f aca="false">IF(ISNUMBER(S88),IF(S88&gt;0,IF(S77="是",S43/S75+S44/S88,"TTFT 不可達"),"SLO 不可達"),"SLO 不可達")</f>
        <v>0.847537873849954</v>
      </c>
      <c r="T93" s="114" t="n">
        <f aca="false">IF(ISNUMBER(T88),IF(T88&gt;0,IF(T77="是",T43/T75+T44/T88,"TTFT 不可達"),"SLO 不可達"),"SLO 不可達")</f>
        <v>2.31044717328748</v>
      </c>
      <c r="U93" s="114" t="n">
        <f aca="false">IF(ISNUMBER(U88),IF(U88&gt;0,IF(U77="是",U43/U75+U44/U88,"TTFT 不可達"),"SLO 不可達"),"SLO 不可達")</f>
        <v>0.615289967047722</v>
      </c>
      <c r="V93" s="114" t="n">
        <f aca="false">IF(ISNUMBER(V88),IF(V88&gt;0,IF(V77="是",V43/V75+V44/V88,"TTFT 不可達"),"SLO 不可達"),"SLO 不可達")</f>
        <v>1.56076084104835</v>
      </c>
      <c r="W93" s="114" t="n">
        <f aca="false">IF(ISNUMBER(W88),IF(W88&gt;0,IF(W77="是",W43/W75+W44/W88,"TTFT 不可達"),"SLO 不可達"),"SLO 不可達")</f>
        <v>0.549469571762264</v>
      </c>
      <c r="X93" s="114" t="n">
        <f aca="false">IF(ISNUMBER(X88),IF(X88&gt;0,IF(X77="是",X43/X75+X44/X88,"TTFT 不可達"),"SLO 不可達"),"SLO 不可達")</f>
        <v>1.48074655308998</v>
      </c>
      <c r="Y93" s="114" t="n">
        <f aca="false">IF(ISNUMBER(Y88),IF(Y88&gt;0,IF(Y77="是",Y43/Y75+Y44/Y88,"TTFT 不可達"),"SLO 不可達"),"SLO 不可達")</f>
        <v>1.35789222176835</v>
      </c>
      <c r="Z93" s="114" t="n">
        <f aca="false">IF(ISNUMBER(Z88),IF(Z88&gt;0,IF(Z77="是",Z43/Z75+Z44/Z88,"TTFT 不可達"),"SLO 不可達"),"SLO 不可達")</f>
        <v>3.37290767044014</v>
      </c>
      <c r="AA93" s="114" t="n">
        <f aca="false">IF(ISNUMBER(AA88),IF(AA88&gt;0,IF(AA77="是",AA43/AA75+AA44/AA88,"TTFT 不可達"),"SLO 不可達"),"SLO 不可達")</f>
        <v>1.16632459033734</v>
      </c>
      <c r="AB93" s="114" t="n">
        <f aca="false">IF(ISNUMBER(AB88),IF(AB88&gt;0,IF(AB77="是",AB43/AB75+AB44/AB88,"TTFT 不可達"),"SLO 不可達"),"SLO 不可達")</f>
        <v>3.14724430621229</v>
      </c>
      <c r="AC93" s="114" t="n">
        <f aca="false">IF(ISNUMBER(AC88),IF(AC88&gt;0,IF(AC77="是",AC43/AC75+AC44/AC88,"TTFT 不可達"),"SLO 不可達"),"SLO 不可達")</f>
        <v>6.62847288948946</v>
      </c>
      <c r="AD93" s="114" t="n">
        <f aca="false">IF(ISNUMBER(AD88),IF(AD88&gt;0,IF(AD77="是",AD43/AD75+AD44/AD88,"TTFT 不可達"),"SLO 不可達"),"SLO 不可達")</f>
        <v>23.3623109173702</v>
      </c>
      <c r="AE93" s="114" t="n">
        <f aca="false">IF(ISNUMBER(AE88),IF(AE88&gt;0,IF(AE77="是",AE43/AE75+AE44/AE88,"TTFT 不可達"),"SLO 不可達"),"SLO 不可達")</f>
        <v>6.62847288948946</v>
      </c>
      <c r="AF93" s="114" t="n">
        <f aca="false">IF(ISNUMBER(AF88),IF(AF88&gt;0,IF(AF77="是",AF43/AF75+AF44/AF88,"TTFT 不可達"),"SLO 不可達"),"SLO 不可達")</f>
        <v>23.3623109173702</v>
      </c>
      <c r="AG93" s="114" t="n">
        <f aca="false">IF(ISNUMBER(AG88),IF(AG88&gt;0,IF(AG77="是",AG43/AG75+AG44/AG88,"TTFT 不可達"),"SLO 不可達"),"SLO 不可達")</f>
        <v>6.62847288948946</v>
      </c>
      <c r="AH93" s="114" t="n">
        <f aca="false">IF(ISNUMBER(AH88),IF(AH88&gt;0,IF(AH77="是",AH43/AH75+AH44/AH88,"TTFT 不可達"),"SLO 不可達"),"SLO 不可達")</f>
        <v>23.3623109173702</v>
      </c>
    </row>
    <row r="94" customFormat="false" ht="15" hidden="false" customHeight="false" outlineLevel="0" collapsed="false">
      <c r="A94" s="61" t="s">
        <v>794</v>
      </c>
      <c r="B94" s="61" t="s">
        <v>99</v>
      </c>
      <c r="C94" s="85" t="n">
        <f aca="false">IF(ISNUMBER(C93),IF(C93&gt;0,(C43/C75)/C93,0),C93)</f>
        <v>0.289931653950194</v>
      </c>
      <c r="D94" s="85" t="n">
        <f aca="false">IF(ISNUMBER(D93),IF(D93&gt;0,(D43/D75)/D93,0),D93)</f>
        <v>0.258907583482522</v>
      </c>
      <c r="E94" s="85" t="n">
        <f aca="false">IF(ISNUMBER(E93),IF(E93&gt;0,(E43/E75)/E93,0),E93)</f>
        <v>0.169543898417818</v>
      </c>
      <c r="F94" s="85" t="n">
        <f aca="false">IF(ISNUMBER(F93),IF(F93&gt;0,(F43/F75)/F93,0),F93)</f>
        <v>0.258907583482522</v>
      </c>
      <c r="G94" s="85" t="n">
        <f aca="false">IF(ISNUMBER(G93),IF(G93&gt;0,(G43/G75)/G93,0),G93)</f>
        <v>0.379834463771074</v>
      </c>
      <c r="H94" s="85" t="n">
        <f aca="false">IF(ISNUMBER(H93),IF(H93&gt;0,(H43/H75)/H93,0),H93)</f>
        <v>0.258907583482522</v>
      </c>
      <c r="I94" s="85" t="n">
        <f aca="false">IF(ISNUMBER(I93),IF(I93&gt;0,(I43/I75)/I93,0),I93)</f>
        <v>0.313212561462846</v>
      </c>
      <c r="J94" s="85" t="n">
        <f aca="false">IF(ISNUMBER(J93),IF(J93&gt;0,(J43/J75)/J93,0),J93)</f>
        <v>0.258907583482522</v>
      </c>
      <c r="K94" s="85" t="n">
        <f aca="false">IF(ISNUMBER(K93),IF(K93&gt;0,(K43/K75)/K93,0),K93)</f>
        <v>0.247412635073547</v>
      </c>
      <c r="L94" s="85" t="n">
        <f aca="false">IF(ISNUMBER(L93),IF(L93&gt;0,(L43/L75)/L93,0),L93)</f>
        <v>0.258907583482522</v>
      </c>
      <c r="M94" s="85" t="n">
        <f aca="false">IF(ISNUMBER(M93),IF(M93&gt;0,(M43/M75)/M93,0),M93)</f>
        <v>0.289931653950194</v>
      </c>
      <c r="N94" s="85" t="n">
        <f aca="false">IF(ISNUMBER(N93),IF(N93&gt;0,(N43/N75)/N93,0),N93)</f>
        <v>0.258907583482522</v>
      </c>
      <c r="O94" s="85" t="n">
        <f aca="false">IF(ISNUMBER(O93),IF(O93&gt;0,(O43/O75)/O93,0),O93)</f>
        <v>0.325453219414643</v>
      </c>
      <c r="P94" s="85" t="n">
        <f aca="false">IF(ISNUMBER(P93),IF(P93&gt;0,(P43/P75)/P93,0),P93)</f>
        <v>0.30853098572272</v>
      </c>
      <c r="Q94" s="85" t="n">
        <f aca="false">IF(ISNUMBER(Q93),IF(Q93&gt;0,(Q43/Q75)/Q93,0),Q93)</f>
        <v>0.233416133141119</v>
      </c>
      <c r="R94" s="85" t="n">
        <f aca="false">IF(ISNUMBER(R93),IF(R93&gt;0,(R43/R75)/R93,0),R93)</f>
        <v>0.176132586333643</v>
      </c>
      <c r="S94" s="85" t="n">
        <f aca="false">IF(ISNUMBER(S93),IF(S93&gt;0,(S43/S75)/S93,0),S93)</f>
        <v>0.244479784822626</v>
      </c>
      <c r="T94" s="85" t="n">
        <f aca="false">IF(ISNUMBER(T93),IF(T93&gt;0,(T43/T75)/T93,0),T93)</f>
        <v>0.209258357136012</v>
      </c>
      <c r="U94" s="85" t="n">
        <f aca="false">IF(ISNUMBER(U93),IF(U93&gt;0,(U43/U75)/U93,0),U93)</f>
        <v>0.336761345259823</v>
      </c>
      <c r="V94" s="85" t="n">
        <f aca="false">IF(ISNUMBER(V93),IF(V93&gt;0,(V43/V75)/V93,0),V93)</f>
        <v>0.309772238651843</v>
      </c>
      <c r="W94" s="85" t="n">
        <f aca="false">IF(ISNUMBER(W93),IF(W93&gt;0,(W43/W75)/W93,0),W93)</f>
        <v>0.0818445449226446</v>
      </c>
      <c r="X94" s="85" t="n">
        <f aca="false">IF(ISNUMBER(X93),IF(X93&gt;0,(X43/X75)/X93,0),X93)</f>
        <v>0.0708646163858247</v>
      </c>
      <c r="Y94" s="85" t="n">
        <f aca="false">IF(ISNUMBER(Y93),IF(Y93&gt;0,(Y43/Y75)/Y93,0),Y93)</f>
        <v>0.617544055761339</v>
      </c>
      <c r="Z94" s="85" t="n">
        <f aca="false">IF(ISNUMBER(Z93),IF(Z93&gt;0,(Z43/Z75)/Z93,0),Z93)</f>
        <v>0.580103624030048</v>
      </c>
      <c r="AA94" s="85" t="n">
        <f aca="false">IF(ISNUMBER(AA93),IF(AA93&gt;0,(AA43/AA75)/AA93,0),AA93)</f>
        <v>0.253795897133982</v>
      </c>
      <c r="AB94" s="85" t="n">
        <f aca="false">IF(ISNUMBER(AB93),IF(AB93&gt;0,(AB43/AB75)/AB93,0),AB93)</f>
        <v>0.219457464867348</v>
      </c>
      <c r="AC94" s="85" t="n">
        <f aca="false">IF(ISNUMBER(AC93),IF(AC93&gt;0,(AC43/AC75)/AC93,0),AC93)</f>
        <v>0.207406932505661</v>
      </c>
      <c r="AD94" s="85" t="n">
        <f aca="false">IF(ISNUMBER(AD93),IF(AD93&gt;0,(AD43/AD75)/AD93,0),AD93)</f>
        <v>0.13730859985668</v>
      </c>
      <c r="AE94" s="85" t="n">
        <f aca="false">IF(ISNUMBER(AE93),IF(AE93&gt;0,(AE43/AE75)/AE93,0),AE93)</f>
        <v>0.207406932505661</v>
      </c>
      <c r="AF94" s="85" t="n">
        <f aca="false">IF(ISNUMBER(AF93),IF(AF93&gt;0,(AF43/AF75)/AF93,0),AF93)</f>
        <v>0.13730859985668</v>
      </c>
      <c r="AG94" s="85" t="n">
        <f aca="false">IF(ISNUMBER(AG93),IF(AG93&gt;0,(AG43/AG75)/AG93,0),AG93)</f>
        <v>0.207406932505661</v>
      </c>
      <c r="AH94" s="85" t="n">
        <f aca="false">IF(ISNUMBER(AH93),IF(AH93&gt;0,(AH43/AH75)/AH93,0),AH93)</f>
        <v>0.13730859985668</v>
      </c>
    </row>
    <row r="95" customFormat="false" ht="15" hidden="false" customHeight="false" outlineLevel="0" collapsed="false">
      <c r="A95" s="60" t="s">
        <v>795</v>
      </c>
      <c r="B95" s="61" t="s">
        <v>372</v>
      </c>
      <c r="C95" s="70" t="n">
        <f aca="false">IF(ISNUMBER(C93),IF(C93&gt;0,C22*(C43+C44)/C93,0),C93)</f>
        <v>1856942.7817541</v>
      </c>
      <c r="D95" s="70" t="n">
        <f aca="false">IF(ISNUMBER(D93),IF(D93&gt;0,D22*(D43+D44)/D93,0),D93)</f>
        <v>710674.732779595</v>
      </c>
      <c r="E95" s="70" t="n">
        <f aca="false">IF(ISNUMBER(E93),IF(E93&gt;0,E22*(E43+E44)/E93,0),E93)</f>
        <v>1085888.05005576</v>
      </c>
      <c r="F95" s="70" t="n">
        <f aca="false">IF(ISNUMBER(F93),IF(F93&gt;0,F22*(F43+F44)/F93,0),F93)</f>
        <v>710674.732779595</v>
      </c>
      <c r="G95" s="70" t="n">
        <f aca="false">IF(ISNUMBER(G93),IF(G93&gt;0,G22*(G43+G44)/G93,0),G93)</f>
        <v>2432748.73975058</v>
      </c>
      <c r="H95" s="70" t="n">
        <f aca="false">IF(ISNUMBER(H93),IF(H93&gt;0,H22*(H43+H44)/H93,0),H93)</f>
        <v>710674.732779595</v>
      </c>
      <c r="I95" s="70" t="n">
        <f aca="false">IF(ISNUMBER(I93),IF(I93&gt;0,I22*(I43+I44)/I93,0),I93)</f>
        <v>2006051.41673512</v>
      </c>
      <c r="J95" s="70" t="n">
        <f aca="false">IF(ISNUMBER(J93),IF(J93&gt;0,J22*(J43+J44)/J93,0),J93)</f>
        <v>710674.732779595</v>
      </c>
      <c r="K95" s="70" t="n">
        <f aca="false">IF(ISNUMBER(K93),IF(K93&gt;0,K22*(K43+K44)/K93,0),K93)</f>
        <v>1584618.6525515</v>
      </c>
      <c r="L95" s="70" t="n">
        <f aca="false">IF(ISNUMBER(L93),IF(L93&gt;0,L22*(L43+L44)/L93,0),L93)</f>
        <v>710674.732779595</v>
      </c>
      <c r="M95" s="70" t="n">
        <f aca="false">IF(ISNUMBER(M93),IF(M93&gt;0,M22*(M43+M44)/M93,0),M93)</f>
        <v>2652775.40250586</v>
      </c>
      <c r="N95" s="70" t="n">
        <f aca="false">IF(ISNUMBER(N93),IF(N93&gt;0,N22*(N43+N44)/N93,0),N93)</f>
        <v>710674.732779595</v>
      </c>
      <c r="O95" s="70" t="n">
        <f aca="false">IF(ISNUMBER(O93),IF(O93&gt;0,O22*(O43+O44)/O93,0),O93)</f>
        <v>2084449.89830077</v>
      </c>
      <c r="P95" s="70" t="n">
        <f aca="false">IF(ISNUMBER(P93),IF(P93&gt;0,P22*(P43+P44)/P93,0),P93)</f>
        <v>846885.876741888</v>
      </c>
      <c r="Q95" s="70" t="n">
        <f aca="false">IF(ISNUMBER(Q93),IF(Q93&gt;0,Q22*(Q43+Q44)/Q93,0),Q93)</f>
        <v>1494974.41095485</v>
      </c>
      <c r="R95" s="70" t="n">
        <f aca="false">IF(ISNUMBER(R93),IF(R93&gt;0,R22*(R43+R44)/R93,0),R93)</f>
        <v>483465.864702609</v>
      </c>
      <c r="S95" s="70" t="n">
        <f aca="false">IF(ISNUMBER(S93),IF(S93&gt;0,S22*(S43+S44)/S93,0),S93)</f>
        <v>1565834.44934633</v>
      </c>
      <c r="T95" s="70" t="n">
        <f aca="false">IF(ISNUMBER(T93),IF(T93&gt;0,T22*(T43+T44)/T93,0),T93)</f>
        <v>574392.70429702</v>
      </c>
      <c r="U95" s="70" t="n">
        <f aca="false">IF(ISNUMBER(U93),IF(U93&gt;0,U22*(U43+U44)/U93,0),U93)</f>
        <v>2156875.73513948</v>
      </c>
      <c r="V95" s="70" t="n">
        <f aca="false">IF(ISNUMBER(V93),IF(V93&gt;0,V22*(V43+V44)/V93,0),V93)</f>
        <v>850292.988584077</v>
      </c>
      <c r="W95" s="70" t="n">
        <f aca="false">IF(ISNUMBER(W93),IF(W93&gt;0,W22*(W43+W44)/W93,0),W93)</f>
        <v>805081.887576109</v>
      </c>
      <c r="X95" s="70" t="n">
        <f aca="false">IF(ISNUMBER(X93),IF(X93&gt;0,X22*(X43+X44)/X93,0),X93)</f>
        <v>298746.601217393</v>
      </c>
      <c r="Y95" s="70" t="n">
        <f aca="false">IF(ISNUMBER(Y93),IF(Y93&gt;0,Y22*(Y43+Y44)/Y93,0),Y93)</f>
        <v>3583530.35829535</v>
      </c>
      <c r="Z95" s="70" t="n">
        <f aca="false">IF(ISNUMBER(Z93),IF(Z93&gt;0,Z22*(Z43+Z44)/Z93,0),Z93)</f>
        <v>1442686.39270669</v>
      </c>
      <c r="AA95" s="70" t="n">
        <f aca="false">IF(ISNUMBER(AA93),IF(AA93&gt;0,AA22*(AA43+AA44)/AA93,0),AA93)</f>
        <v>1137851.34172311</v>
      </c>
      <c r="AB95" s="70" t="n">
        <f aca="false">IF(ISNUMBER(AB93),IF(AB93&gt;0,AB22*(AB43+AB44)/AB93,0),AB93)</f>
        <v>421671.74546331</v>
      </c>
      <c r="AC95" s="70" t="n">
        <f aca="false">IF(ISNUMBER(AC93),IF(AC93&gt;0,AC22*(AC43+AC44)/AC93,0),AC93)</f>
        <v>400425.262990618</v>
      </c>
      <c r="AD95" s="70" t="n">
        <f aca="false">IF(ISNUMBER(AD93),IF(AD93&gt;0,AD22*(AD43+AD44)/AD93,0),AD93)</f>
        <v>113610.678728985</v>
      </c>
      <c r="AE95" s="70" t="n">
        <f aca="false">IF(ISNUMBER(AE93),IF(AE93&gt;0,AE22*(AE43+AE44)/AE93,0),AE93)</f>
        <v>400425.262990618</v>
      </c>
      <c r="AF95" s="70" t="n">
        <f aca="false">IF(ISNUMBER(AF93),IF(AF93&gt;0,AF22*(AF43+AF44)/AF93,0),AF93)</f>
        <v>113610.678728985</v>
      </c>
      <c r="AG95" s="70" t="n">
        <f aca="false">IF(ISNUMBER(AG93),IF(AG93&gt;0,AG22*(AG43+AG44)/AG93,0),AG93)</f>
        <v>400425.262990618</v>
      </c>
      <c r="AH95" s="70" t="n">
        <f aca="false">IF(ISNUMBER(AH93),IF(AH93&gt;0,AH22*(AH43+AH44)/AH93,0),AH93)</f>
        <v>113610.678728985</v>
      </c>
    </row>
    <row r="96" customFormat="false" ht="15" hidden="false" customHeight="false" outlineLevel="0" collapsed="false">
      <c r="A96" s="60" t="s">
        <v>796</v>
      </c>
      <c r="B96" s="61" t="s">
        <v>372</v>
      </c>
      <c r="C96" s="67" t="n">
        <f aca="false">IF(ISNUMBER(C95),C95*C44/(C43+C44),C95)</f>
        <v>206326.975750455</v>
      </c>
      <c r="D96" s="67" t="n">
        <f aca="false">IF(ISNUMBER(D95),D95*D44/(D43+D44),D95)</f>
        <v>78963.8591977328</v>
      </c>
      <c r="E96" s="67" t="n">
        <f aca="false">IF(ISNUMBER(E95),E95*E44/(E43+E44),E95)</f>
        <v>120654.227783973</v>
      </c>
      <c r="F96" s="67" t="n">
        <f aca="false">IF(ISNUMBER(F95),F95*F44/(F43+F44),F95)</f>
        <v>78963.8591977328</v>
      </c>
      <c r="G96" s="67" t="n">
        <f aca="false">IF(ISNUMBER(G95),G95*G44/(G43+G44),G95)</f>
        <v>270305.415527842</v>
      </c>
      <c r="H96" s="67" t="n">
        <f aca="false">IF(ISNUMBER(H95),H95*H44/(H43+H44),H95)</f>
        <v>78963.8591977328</v>
      </c>
      <c r="I96" s="67" t="n">
        <f aca="false">IF(ISNUMBER(I95),I95*I44/(I43+I44),I95)</f>
        <v>222894.601859458</v>
      </c>
      <c r="J96" s="67" t="n">
        <f aca="false">IF(ISNUMBER(J95),J95*J44/(J43+J44),J95)</f>
        <v>78963.8591977328</v>
      </c>
      <c r="K96" s="67" t="n">
        <f aca="false">IF(ISNUMBER(K95),K95*K44/(K43+K44),K95)</f>
        <v>176068.739172389</v>
      </c>
      <c r="L96" s="67" t="n">
        <f aca="false">IF(ISNUMBER(L95),L95*L44/(L43+L44),L95)</f>
        <v>78963.8591977328</v>
      </c>
      <c r="M96" s="67" t="n">
        <f aca="false">IF(ISNUMBER(M95),M95*M44/(M43+M44),M95)</f>
        <v>294752.822500651</v>
      </c>
      <c r="N96" s="67" t="n">
        <f aca="false">IF(ISNUMBER(N95),N95*N44/(N43+N44),N95)</f>
        <v>78963.8591977328</v>
      </c>
      <c r="O96" s="67" t="n">
        <f aca="false">IF(ISNUMBER(O95),O95*O44/(O43+O44),O95)</f>
        <v>231605.544255641</v>
      </c>
      <c r="P96" s="67" t="n">
        <f aca="false">IF(ISNUMBER(P95),P95*P44/(P43+P44),P95)</f>
        <v>94098.4307490987</v>
      </c>
      <c r="Q96" s="67" t="n">
        <f aca="false">IF(ISNUMBER(Q95),Q95*Q44/(Q43+Q44),Q95)</f>
        <v>166108.267883872</v>
      </c>
      <c r="R96" s="67" t="n">
        <f aca="false">IF(ISNUMBER(R95),R95*R44/(R43+R44),R95)</f>
        <v>53718.429411401</v>
      </c>
      <c r="S96" s="67" t="n">
        <f aca="false">IF(ISNUMBER(S95),S95*S44/(S43+S44),S95)</f>
        <v>173981.605482925</v>
      </c>
      <c r="T96" s="67" t="n">
        <f aca="false">IF(ISNUMBER(T95),T95*T44/(T43+T44),T95)</f>
        <v>63821.4115885577</v>
      </c>
      <c r="U96" s="67" t="n">
        <f aca="false">IF(ISNUMBER(U95),U95*U44/(U43+U44),U95)</f>
        <v>239652.859459942</v>
      </c>
      <c r="V96" s="67" t="n">
        <f aca="false">IF(ISNUMBER(V95),V95*V44/(V43+V44),V95)</f>
        <v>94476.9987315641</v>
      </c>
      <c r="W96" s="67" t="n">
        <f aca="false">IF(ISNUMBER(W95),W95*W44/(W43+W44),W95)</f>
        <v>268360.629192036</v>
      </c>
      <c r="X96" s="67" t="n">
        <f aca="false">IF(ISNUMBER(X95),X95*X44/(X43+X44),X95)</f>
        <v>99582.2004057975</v>
      </c>
      <c r="Y96" s="67" t="n">
        <f aca="false">IF(ISNUMBER(Y95),Y95*Y44/(Y43+Y44),Y95)</f>
        <v>108591.829039253</v>
      </c>
      <c r="Z96" s="67" t="n">
        <f aca="false">IF(ISNUMBER(Z95),Z95*Z44/(Z43+Z44),Z95)</f>
        <v>43717.7694759603</v>
      </c>
      <c r="AA96" s="67" t="n">
        <f aca="false">IF(ISNUMBER(AA95),AA95*AA44/(AA43+AA44),AA95)</f>
        <v>126427.926858123</v>
      </c>
      <c r="AB96" s="67" t="n">
        <f aca="false">IF(ISNUMBER(AB95),AB95*AB44/(AB43+AB44),AB95)</f>
        <v>46852.41616259</v>
      </c>
      <c r="AC96" s="67" t="n">
        <f aca="false">IF(ISNUMBER(AC95),AC95*AC44/(AC43+AC44),AC95)</f>
        <v>44491.6958878465</v>
      </c>
      <c r="AD96" s="67" t="n">
        <f aca="false">IF(ISNUMBER(AD95),AD95*AD44/(AD43+AD44),AD95)</f>
        <v>12623.408747665</v>
      </c>
      <c r="AE96" s="67" t="n">
        <f aca="false">IF(ISNUMBER(AE95),AE95*AE44/(AE43+AE44),AE95)</f>
        <v>44491.6958878465</v>
      </c>
      <c r="AF96" s="67" t="n">
        <f aca="false">IF(ISNUMBER(AF95),AF95*AF44/(AF43+AF44),AF95)</f>
        <v>12623.408747665</v>
      </c>
      <c r="AG96" s="67" t="n">
        <f aca="false">IF(ISNUMBER(AG95),AG95*AG44/(AG43+AG44),AG95)</f>
        <v>44491.6958878465</v>
      </c>
      <c r="AH96" s="67" t="n">
        <f aca="false">IF(ISNUMBER(AH95),AH95*AH44/(AH43+AH44),AH95)</f>
        <v>12623.408747665</v>
      </c>
    </row>
    <row r="97" customFormat="false" ht="15" hidden="false" customHeight="false" outlineLevel="0" collapsed="false">
      <c r="A97" s="60" t="s">
        <v>797</v>
      </c>
      <c r="B97" s="61" t="s">
        <v>372</v>
      </c>
      <c r="C97" s="67" t="n">
        <f aca="false">IF(ISNUMBER(C95),C95-C96,C95)</f>
        <v>1650615.80600364</v>
      </c>
      <c r="D97" s="67" t="n">
        <f aca="false">IF(ISNUMBER(D95),D95-D96,D95)</f>
        <v>631710.873581863</v>
      </c>
      <c r="E97" s="67" t="n">
        <f aca="false">IF(ISNUMBER(E95),E95-E96,E95)</f>
        <v>965233.822271785</v>
      </c>
      <c r="F97" s="67" t="n">
        <f aca="false">IF(ISNUMBER(F95),F95-F96,F95)</f>
        <v>631710.873581863</v>
      </c>
      <c r="G97" s="67" t="n">
        <f aca="false">IF(ISNUMBER(G95),G95-G96,G95)</f>
        <v>2162443.32422274</v>
      </c>
      <c r="H97" s="67" t="n">
        <f aca="false">IF(ISNUMBER(H95),H95-H96,H95)</f>
        <v>631710.873581863</v>
      </c>
      <c r="I97" s="67" t="n">
        <f aca="false">IF(ISNUMBER(I95),I95-I96,I95)</f>
        <v>1783156.81487566</v>
      </c>
      <c r="J97" s="67" t="n">
        <f aca="false">IF(ISNUMBER(J95),J95-J96,J95)</f>
        <v>631710.873581863</v>
      </c>
      <c r="K97" s="67" t="n">
        <f aca="false">IF(ISNUMBER(K95),K95-K96,K95)</f>
        <v>1408549.91337911</v>
      </c>
      <c r="L97" s="67" t="n">
        <f aca="false">IF(ISNUMBER(L95),L95-L96,L95)</f>
        <v>631710.873581863</v>
      </c>
      <c r="M97" s="67" t="n">
        <f aca="false">IF(ISNUMBER(M95),M95-M96,M95)</f>
        <v>2358022.58000521</v>
      </c>
      <c r="N97" s="67" t="n">
        <f aca="false">IF(ISNUMBER(N95),N95-N96,N95)</f>
        <v>631710.873581863</v>
      </c>
      <c r="O97" s="67" t="n">
        <f aca="false">IF(ISNUMBER(O95),O95-O96,O95)</f>
        <v>1852844.35404513</v>
      </c>
      <c r="P97" s="67" t="n">
        <f aca="false">IF(ISNUMBER(P95),P95-P96,P95)</f>
        <v>752787.445992789</v>
      </c>
      <c r="Q97" s="67" t="n">
        <f aca="false">IF(ISNUMBER(Q95),Q95-Q96,Q95)</f>
        <v>1328866.14307097</v>
      </c>
      <c r="R97" s="67" t="n">
        <f aca="false">IF(ISNUMBER(R95),R95-R96,R95)</f>
        <v>429747.435291208</v>
      </c>
      <c r="S97" s="67" t="n">
        <f aca="false">IF(ISNUMBER(S95),S95-S96,S95)</f>
        <v>1391852.8438634</v>
      </c>
      <c r="T97" s="67" t="n">
        <f aca="false">IF(ISNUMBER(T95),T95-T96,T95)</f>
        <v>510571.292708462</v>
      </c>
      <c r="U97" s="67" t="n">
        <f aca="false">IF(ISNUMBER(U95),U95-U96,U95)</f>
        <v>1917222.87567954</v>
      </c>
      <c r="V97" s="67" t="n">
        <f aca="false">IF(ISNUMBER(V95),V95-V96,V95)</f>
        <v>755815.989852513</v>
      </c>
      <c r="W97" s="67" t="n">
        <f aca="false">IF(ISNUMBER(W95),W95-W96,W95)</f>
        <v>536721.258384073</v>
      </c>
      <c r="X97" s="67" t="n">
        <f aca="false">IF(ISNUMBER(X95),X95-X96,X95)</f>
        <v>199164.400811595</v>
      </c>
      <c r="Y97" s="67" t="n">
        <f aca="false">IF(ISNUMBER(Y95),Y95-Y96,Y95)</f>
        <v>3474938.5292561</v>
      </c>
      <c r="Z97" s="67" t="n">
        <f aca="false">IF(ISNUMBER(Z95),Z95-Z96,Z95)</f>
        <v>1398968.62323073</v>
      </c>
      <c r="AA97" s="67" t="n">
        <f aca="false">IF(ISNUMBER(AA95),AA95-AA96,AA95)</f>
        <v>1011423.41486499</v>
      </c>
      <c r="AB97" s="67" t="n">
        <f aca="false">IF(ISNUMBER(AB95),AB95-AB96,AB95)</f>
        <v>374819.32930072</v>
      </c>
      <c r="AC97" s="67" t="n">
        <f aca="false">IF(ISNUMBER(AC95),AC95-AC96,AC95)</f>
        <v>355933.567102772</v>
      </c>
      <c r="AD97" s="67" t="n">
        <f aca="false">IF(ISNUMBER(AD95),AD95-AD96,AD95)</f>
        <v>100987.26998132</v>
      </c>
      <c r="AE97" s="67" t="n">
        <f aca="false">IF(ISNUMBER(AE95),AE95-AE96,AE95)</f>
        <v>355933.567102772</v>
      </c>
      <c r="AF97" s="67" t="n">
        <f aca="false">IF(ISNUMBER(AF95),AF95-AF96,AF95)</f>
        <v>100987.26998132</v>
      </c>
      <c r="AG97" s="67" t="n">
        <f aca="false">IF(ISNUMBER(AG95),AG95-AG96,AG95)</f>
        <v>355933.567102772</v>
      </c>
      <c r="AH97" s="67" t="n">
        <f aca="false">IF(ISNUMBER(AH95),AH95-AH96,AH95)</f>
        <v>100987.26998132</v>
      </c>
    </row>
    <row r="98" customFormat="false" ht="15" hidden="false" customHeight="false" outlineLevel="0" collapsed="false">
      <c r="A98" s="60" t="s">
        <v>798</v>
      </c>
      <c r="B98" s="61" t="s">
        <v>799</v>
      </c>
      <c r="C98" s="70" t="n">
        <f aca="false">IF(ISNUMBER(C95),C95*C25*8760*3600/1000000,C95)</f>
        <v>237287338734.99</v>
      </c>
      <c r="D98" s="70" t="n">
        <f aca="false">IF(ISNUMBER(D95),D95*D25*8760*3600/1000000,D95)</f>
        <v>151593674754.548</v>
      </c>
      <c r="E98" s="70" t="n">
        <f aca="false">IF(ISNUMBER(E95),E95*E25*8760*3600/1000000,E95)</f>
        <v>138758979594.655</v>
      </c>
      <c r="F98" s="70" t="n">
        <f aca="false">IF(ISNUMBER(F95),F95*F25*8760*3600/1000000,F95)</f>
        <v>151593674754.548</v>
      </c>
      <c r="G98" s="70" t="n">
        <f aca="false">IF(ISNUMBER(G95),G95*G25*8760*3600/1000000,G95)</f>
        <v>310866053568.45</v>
      </c>
      <c r="H98" s="70" t="n">
        <f aca="false">IF(ISNUMBER(H95),H95*H25*8760*3600/1000000,H95)</f>
        <v>151593674754.548</v>
      </c>
      <c r="I98" s="70" t="n">
        <f aca="false">IF(ISNUMBER(I95),I95*I25*8760*3600/1000000,I95)</f>
        <v>256341017461.5</v>
      </c>
      <c r="J98" s="70" t="n">
        <f aca="false">IF(ISNUMBER(J95),J95*J25*8760*3600/1000000,J95)</f>
        <v>151593674754.548</v>
      </c>
      <c r="K98" s="70" t="n">
        <f aca="false">IF(ISNUMBER(K95),K95*K25*8760*3600/1000000,K95)</f>
        <v>202488707066.453</v>
      </c>
      <c r="L98" s="70" t="n">
        <f aca="false">IF(ISNUMBER(L95),L95*L25*8760*3600/1000000,L95)</f>
        <v>151593674754.548</v>
      </c>
      <c r="M98" s="70" t="n">
        <f aca="false">IF(ISNUMBER(M95),M95*M25*8760*3600/1000000,M95)</f>
        <v>338981912478.557</v>
      </c>
      <c r="N98" s="70" t="n">
        <f aca="false">IF(ISNUMBER(N95),N95*N25*8760*3600/1000000,N95)</f>
        <v>151593674754.548</v>
      </c>
      <c r="O98" s="70" t="n">
        <f aca="false">IF(ISNUMBER(O95),O95*O25*8760*3600/1000000,O95)</f>
        <v>266359078994.878</v>
      </c>
      <c r="P98" s="70" t="n">
        <f aca="false">IF(ISNUMBER(P95),P95*P25*8760*3600/1000000,P95)</f>
        <v>180648806312.417</v>
      </c>
      <c r="Q98" s="70" t="n">
        <f aca="false">IF(ISNUMBER(Q95),Q95*Q25*8760*3600/1000000,Q95)</f>
        <v>191033618772.729</v>
      </c>
      <c r="R98" s="70" t="n">
        <f aca="false">IF(ISNUMBER(R95),R95*R25*8760*3600/1000000,R95)</f>
        <v>103127863800.645</v>
      </c>
      <c r="S98" s="70" t="n">
        <f aca="false">IF(ISNUMBER(S95),S95*S25*8760*3600/1000000,S95)</f>
        <v>200088388848.462</v>
      </c>
      <c r="T98" s="70" t="n">
        <f aca="false">IF(ISNUMBER(T95),T95*T25*8760*3600/1000000,T95)</f>
        <v>122523422854.816</v>
      </c>
      <c r="U98" s="70" t="n">
        <f aca="false">IF(ISNUMBER(U95),U95*U25*8760*3600/1000000,U95)</f>
        <v>275613932858.969</v>
      </c>
      <c r="V98" s="70" t="n">
        <f aca="false">IF(ISNUMBER(V95),V95*V25*8760*3600/1000000,V95)</f>
        <v>181375575649.547</v>
      </c>
      <c r="W98" s="70" t="n">
        <f aca="false">IF(ISNUMBER(W95),W95*W25*8760*3600/1000000,W95)</f>
        <v>102876480871.544</v>
      </c>
      <c r="X98" s="70" t="n">
        <f aca="false">IF(ISNUMBER(X95),X95*X25*8760*3600/1000000,X95)</f>
        <v>63725489327.3678</v>
      </c>
      <c r="Y98" s="70" t="n">
        <f aca="false">IF(ISNUMBER(Y95),Y95*Y25*8760*3600/1000000,Y95)</f>
        <v>457917384612.528</v>
      </c>
      <c r="Z98" s="70" t="n">
        <f aca="false">IF(ISNUMBER(Z95),Z95*Z25*8760*3600/1000000,Z95)</f>
        <v>307738718855.813</v>
      </c>
      <c r="AA98" s="70" t="n">
        <f aca="false">IF(ISNUMBER(AA95),AA95*AA25*8760*3600/1000000,AA95)</f>
        <v>145399050205.774</v>
      </c>
      <c r="AB98" s="70" t="n">
        <f aca="false">IF(ISNUMBER(AB95),AB95*AB25*8760*3600/1000000,AB95)</f>
        <v>89946590875.593</v>
      </c>
      <c r="AC98" s="70" t="n">
        <f aca="false">IF(ISNUMBER(AC95),AC95*AC25*8760*3600/1000000,AC95)</f>
        <v>51167890551.5595</v>
      </c>
      <c r="AD98" s="70" t="n">
        <f aca="false">IF(ISNUMBER(AD95),AD95*AD25*8760*3600/1000000,AD95)</f>
        <v>24234237528.7831</v>
      </c>
      <c r="AE98" s="70" t="n">
        <f aca="false">IF(ISNUMBER(AE95),AE95*AE25*8760*3600/1000000,AE95)</f>
        <v>51167890551.5595</v>
      </c>
      <c r="AF98" s="70" t="n">
        <f aca="false">IF(ISNUMBER(AF95),AF95*AF25*8760*3600/1000000,AF95)</f>
        <v>24234237528.7831</v>
      </c>
      <c r="AG98" s="70" t="n">
        <f aca="false">IF(ISNUMBER(AG95),AG95*AG25*8760*3600/1000000,AG95)</f>
        <v>51167890551.5595</v>
      </c>
      <c r="AH98" s="70" t="n">
        <f aca="false">IF(ISNUMBER(AH95),AH95*AH25*8760*3600/1000000,AH95)</f>
        <v>24234237528.7831</v>
      </c>
    </row>
    <row r="99" customFormat="false" ht="15" hidden="false" customHeight="false" outlineLevel="0" collapsed="false">
      <c r="A99" s="60" t="s">
        <v>800</v>
      </c>
      <c r="B99" s="61" t="s">
        <v>799</v>
      </c>
      <c r="C99" s="67" t="n">
        <f aca="false">IF(ISNUMBER(C96),C96*C25*8760*3600/1000000,C96)</f>
        <v>26365259859.4433</v>
      </c>
      <c r="D99" s="67" t="n">
        <f aca="false">IF(ISNUMBER(D96),D96*D25*8760*3600/1000000,D96)</f>
        <v>16843741639.3942</v>
      </c>
      <c r="E99" s="67" t="n">
        <f aca="false">IF(ISNUMBER(E96),E96*E25*8760*3600/1000000,E96)</f>
        <v>15417664399.4061</v>
      </c>
      <c r="F99" s="67" t="n">
        <f aca="false">IF(ISNUMBER(F96),F96*F25*8760*3600/1000000,F96)</f>
        <v>16843741639.3942</v>
      </c>
      <c r="G99" s="67" t="n">
        <f aca="false">IF(ISNUMBER(G96),G96*G25*8760*3600/1000000,G96)</f>
        <v>34540672618.7166</v>
      </c>
      <c r="H99" s="67" t="n">
        <f aca="false">IF(ISNUMBER(H96),H96*H25*8760*3600/1000000,H96)</f>
        <v>16843741639.3942</v>
      </c>
      <c r="I99" s="67" t="n">
        <f aca="false">IF(ISNUMBER(I96),I96*I25*8760*3600/1000000,I96)</f>
        <v>28482335273.5</v>
      </c>
      <c r="J99" s="67" t="n">
        <f aca="false">IF(ISNUMBER(J96),J96*J25*8760*3600/1000000,J96)</f>
        <v>16843741639.3942</v>
      </c>
      <c r="K99" s="67" t="n">
        <f aca="false">IF(ISNUMBER(K96),K96*K25*8760*3600/1000000,K96)</f>
        <v>22498745229.6059</v>
      </c>
      <c r="L99" s="67" t="n">
        <f aca="false">IF(ISNUMBER(L96),L96*L25*8760*3600/1000000,L96)</f>
        <v>16843741639.3942</v>
      </c>
      <c r="M99" s="67" t="n">
        <f aca="false">IF(ISNUMBER(M96),M96*M25*8760*3600/1000000,M96)</f>
        <v>37664656942.0619</v>
      </c>
      <c r="N99" s="67" t="n">
        <f aca="false">IF(ISNUMBER(N96),N96*N25*8760*3600/1000000,N96)</f>
        <v>16843741639.3942</v>
      </c>
      <c r="O99" s="67" t="n">
        <f aca="false">IF(ISNUMBER(O96),O96*O25*8760*3600/1000000,O96)</f>
        <v>29595453221.6532</v>
      </c>
      <c r="P99" s="67" t="n">
        <f aca="false">IF(ISNUMBER(P96),P96*P25*8760*3600/1000000,P96)</f>
        <v>20072089590.2686</v>
      </c>
      <c r="Q99" s="67" t="n">
        <f aca="false">IF(ISNUMBER(Q96),Q96*Q25*8760*3600/1000000,Q96)</f>
        <v>21225957641.4144</v>
      </c>
      <c r="R99" s="67" t="n">
        <f aca="false">IF(ISNUMBER(R96),R96*R25*8760*3600/1000000,R96)</f>
        <v>11458651533.405</v>
      </c>
      <c r="S99" s="67" t="n">
        <f aca="false">IF(ISNUMBER(S96),S96*S25*8760*3600/1000000,S96)</f>
        <v>22232043205.3846</v>
      </c>
      <c r="T99" s="67" t="n">
        <f aca="false">IF(ISNUMBER(T96),T96*T25*8760*3600/1000000,T96)</f>
        <v>13613713650.5351</v>
      </c>
      <c r="U99" s="67" t="n">
        <f aca="false">IF(ISNUMBER(U96),U96*U25*8760*3600/1000000,U96)</f>
        <v>30623770317.6632</v>
      </c>
      <c r="V99" s="67" t="n">
        <f aca="false">IF(ISNUMBER(V96),V96*V25*8760*3600/1000000,V96)</f>
        <v>20152841738.8386</v>
      </c>
      <c r="W99" s="67" t="n">
        <f aca="false">IF(ISNUMBER(W96),W96*W25*8760*3600/1000000,W96)</f>
        <v>34292160290.5146</v>
      </c>
      <c r="X99" s="67" t="n">
        <f aca="false">IF(ISNUMBER(X96),X96*X25*8760*3600/1000000,X96)</f>
        <v>21241829775.7893</v>
      </c>
      <c r="Y99" s="67" t="n">
        <f aca="false">IF(ISNUMBER(Y96),Y96*Y25*8760*3600/1000000,Y96)</f>
        <v>13876284382.1978</v>
      </c>
      <c r="Z99" s="67" t="n">
        <f aca="false">IF(ISNUMBER(Z96),Z96*Z25*8760*3600/1000000,Z96)</f>
        <v>9325415722.90342</v>
      </c>
      <c r="AA99" s="67" t="n">
        <f aca="false">IF(ISNUMBER(AA96),AA96*AA25*8760*3600/1000000,AA96)</f>
        <v>16155450022.8638</v>
      </c>
      <c r="AB99" s="67" t="n">
        <f aca="false">IF(ISNUMBER(AB96),AB96*AB25*8760*3600/1000000,AB96)</f>
        <v>9994065652.84367</v>
      </c>
      <c r="AC99" s="67" t="n">
        <f aca="false">IF(ISNUMBER(AC96),AC96*AC25*8760*3600/1000000,AC96)</f>
        <v>5685321172.3955</v>
      </c>
      <c r="AD99" s="67" t="n">
        <f aca="false">IF(ISNUMBER(AD96),AD96*AD25*8760*3600/1000000,AD96)</f>
        <v>2692693058.75367</v>
      </c>
      <c r="AE99" s="67" t="n">
        <f aca="false">IF(ISNUMBER(AE96),AE96*AE25*8760*3600/1000000,AE96)</f>
        <v>5685321172.3955</v>
      </c>
      <c r="AF99" s="67" t="n">
        <f aca="false">IF(ISNUMBER(AF96),AF96*AF25*8760*3600/1000000,AF96)</f>
        <v>2692693058.75367</v>
      </c>
      <c r="AG99" s="67" t="n">
        <f aca="false">IF(ISNUMBER(AG96),AG96*AG25*8760*3600/1000000,AG96)</f>
        <v>5685321172.3955</v>
      </c>
      <c r="AH99" s="67" t="n">
        <f aca="false">IF(ISNUMBER(AH96),AH96*AH25*8760*3600/1000000,AH96)</f>
        <v>2692693058.75367</v>
      </c>
    </row>
    <row r="100" customFormat="false" ht="15" hidden="false" customHeight="false" outlineLevel="0" collapsed="false">
      <c r="A100" s="75" t="s">
        <v>801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</row>
    <row r="101" customFormat="false" ht="15" hidden="false" customHeight="false" outlineLevel="0" collapsed="false">
      <c r="A101" s="60" t="s">
        <v>802</v>
      </c>
      <c r="B101" s="61" t="s">
        <v>803</v>
      </c>
      <c r="C101" s="74" t="n">
        <f aca="false">1000000/C75</f>
        <v>12.6468430803139</v>
      </c>
      <c r="D101" s="74" t="n">
        <f aca="false">1000000/D75</f>
        <v>29.5093005207324</v>
      </c>
      <c r="E101" s="74" t="n">
        <f aca="false">1000000/E75</f>
        <v>12.6468430803139</v>
      </c>
      <c r="F101" s="74" t="n">
        <f aca="false">1000000/F75</f>
        <v>29.5093005207324</v>
      </c>
      <c r="G101" s="74" t="n">
        <f aca="false">1000000/G75</f>
        <v>12.6468430803139</v>
      </c>
      <c r="H101" s="74" t="n">
        <f aca="false">1000000/H75</f>
        <v>29.5093005207324</v>
      </c>
      <c r="I101" s="74" t="n">
        <f aca="false">1000000/I75</f>
        <v>12.6468430803139</v>
      </c>
      <c r="J101" s="74" t="n">
        <f aca="false">1000000/J75</f>
        <v>29.5093005207324</v>
      </c>
      <c r="K101" s="74" t="n">
        <f aca="false">1000000/K75</f>
        <v>12.6468430803139</v>
      </c>
      <c r="L101" s="74" t="n">
        <f aca="false">1000000/L75</f>
        <v>29.5093005207324</v>
      </c>
      <c r="M101" s="74" t="n">
        <f aca="false">1000000/M75</f>
        <v>8.85279015621974</v>
      </c>
      <c r="N101" s="74" t="n">
        <f aca="false">1000000/N75</f>
        <v>29.5093005207324</v>
      </c>
      <c r="O101" s="74" t="n">
        <f aca="false">1000000/O75</f>
        <v>12.6468430803139</v>
      </c>
      <c r="P101" s="74" t="n">
        <f aca="false">1000000/P75</f>
        <v>29.5093005207324</v>
      </c>
      <c r="Q101" s="74" t="n">
        <f aca="false">1000000/Q75</f>
        <v>12.6468430803139</v>
      </c>
      <c r="R101" s="74" t="n">
        <f aca="false">1000000/R75</f>
        <v>29.5093005207324</v>
      </c>
      <c r="S101" s="74" t="n">
        <f aca="false">1000000/S75</f>
        <v>12.6468430803139</v>
      </c>
      <c r="T101" s="74" t="n">
        <f aca="false">1000000/T75</f>
        <v>29.5093005207324</v>
      </c>
      <c r="U101" s="74" t="n">
        <f aca="false">1000000/U75</f>
        <v>12.6468430803139</v>
      </c>
      <c r="V101" s="74" t="n">
        <f aca="false">1000000/V75</f>
        <v>29.5093005207324</v>
      </c>
      <c r="W101" s="74" t="n">
        <f aca="false">1000000/W75</f>
        <v>10.9792692992488</v>
      </c>
      <c r="X101" s="74" t="n">
        <f aca="false">1000000/X75</f>
        <v>25.6182950315804</v>
      </c>
      <c r="Y101" s="74" t="n">
        <f aca="false">1000000/Y75</f>
        <v>12.7953837572876</v>
      </c>
      <c r="Z101" s="74" t="n">
        <f aca="false">1000000/Z75</f>
        <v>29.8558954336711</v>
      </c>
      <c r="AA101" s="74" t="n">
        <f aca="false">1000000/AA75</f>
        <v>18.0669186861627</v>
      </c>
      <c r="AB101" s="74" t="n">
        <f aca="false">1000000/AB75</f>
        <v>42.1561436010464</v>
      </c>
      <c r="AC101" s="74" t="n">
        <f aca="false">1000000/AC75</f>
        <v>41.9552987428571</v>
      </c>
      <c r="AD101" s="74" t="n">
        <f aca="false">1000000/AD75</f>
        <v>97.8956970666667</v>
      </c>
      <c r="AE101" s="74" t="n">
        <f aca="false">1000000/AE75</f>
        <v>41.9552987428571</v>
      </c>
      <c r="AF101" s="74" t="n">
        <f aca="false">1000000/AF75</f>
        <v>97.8956970666667</v>
      </c>
      <c r="AG101" s="74" t="n">
        <f aca="false">1000000/AG75</f>
        <v>41.9552987428571</v>
      </c>
      <c r="AH101" s="74" t="n">
        <f aca="false">1000000/AH75</f>
        <v>97.8956970666667</v>
      </c>
    </row>
    <row r="102" customFormat="false" ht="15" hidden="false" customHeight="false" outlineLevel="0" collapsed="false">
      <c r="A102" s="60" t="s">
        <v>804</v>
      </c>
      <c r="B102" s="61" t="s">
        <v>803</v>
      </c>
      <c r="C102" s="115" t="n">
        <f aca="false">1000000*C34/(C62*1000000000000)</f>
        <v>0.03965</v>
      </c>
      <c r="D102" s="115" t="n">
        <f aca="false">1000000*D34/(D62*1000000000000)</f>
        <v>0.03965</v>
      </c>
      <c r="E102" s="115" t="n">
        <f aca="false">1000000*E34/(E62*1000000000000)</f>
        <v>0.03965</v>
      </c>
      <c r="F102" s="115" t="n">
        <f aca="false">1000000*F34/(F62*1000000000000)</f>
        <v>0.03965</v>
      </c>
      <c r="G102" s="115" t="n">
        <f aca="false">1000000*G34/(G62*1000000000000)</f>
        <v>0.03965</v>
      </c>
      <c r="H102" s="115" t="n">
        <f aca="false">1000000*H34/(H62*1000000000000)</f>
        <v>0.03965</v>
      </c>
      <c r="I102" s="115" t="n">
        <f aca="false">1000000*I34/(I62*1000000000000)</f>
        <v>0.03965</v>
      </c>
      <c r="J102" s="115" t="n">
        <f aca="false">1000000*J34/(J62*1000000000000)</f>
        <v>0.03965</v>
      </c>
      <c r="K102" s="115" t="n">
        <f aca="false">1000000*K34/(K62*1000000000000)</f>
        <v>0.03965</v>
      </c>
      <c r="L102" s="115" t="n">
        <f aca="false">1000000*L34/(L62*1000000000000)</f>
        <v>0.03965</v>
      </c>
      <c r="M102" s="115" t="n">
        <f aca="false">1000000*M34/(M62*1000000000000)</f>
        <v>0.03965</v>
      </c>
      <c r="N102" s="115" t="n">
        <f aca="false">1000000*N34/(N62*1000000000000)</f>
        <v>0.03965</v>
      </c>
      <c r="O102" s="115" t="n">
        <f aca="false">1000000*O34/(O62*1000000000000)</f>
        <v>0.03965</v>
      </c>
      <c r="P102" s="115" t="n">
        <f aca="false">1000000*P34/(P62*1000000000000)</f>
        <v>0.03965</v>
      </c>
      <c r="Q102" s="115" t="n">
        <f aca="false">1000000*Q34/(Q62*1000000000000)</f>
        <v>0.03965</v>
      </c>
      <c r="R102" s="115" t="n">
        <f aca="false">1000000*R34/(R62*1000000000000)</f>
        <v>0.03965</v>
      </c>
      <c r="S102" s="115" t="n">
        <f aca="false">1000000*S34/(S62*1000000000000)</f>
        <v>0.03965</v>
      </c>
      <c r="T102" s="115" t="n">
        <f aca="false">1000000*T34/(T62*1000000000000)</f>
        <v>0.03965</v>
      </c>
      <c r="U102" s="115" t="n">
        <f aca="false">1000000*U34/(U62*1000000000000)</f>
        <v>0.03965</v>
      </c>
      <c r="V102" s="115" t="n">
        <f aca="false">1000000*V34/(V62*1000000000000)</f>
        <v>0.03965</v>
      </c>
      <c r="W102" s="115" t="n">
        <f aca="false">1000000*W34/(W62*1000000000000)</f>
        <v>0.03965</v>
      </c>
      <c r="X102" s="115" t="n">
        <f aca="false">1000000*X34/(X62*1000000000000)</f>
        <v>0.03965</v>
      </c>
      <c r="Y102" s="115" t="n">
        <f aca="false">1000000*Y34/(Y62*1000000000000)</f>
        <v>0.03965</v>
      </c>
      <c r="Z102" s="115" t="n">
        <f aca="false">1000000*Z34/(Z62*1000000000000)</f>
        <v>0.03965</v>
      </c>
      <c r="AA102" s="115" t="n">
        <f aca="false">1000000*AA34/(AA62*1000000000000)</f>
        <v>0.03965</v>
      </c>
      <c r="AB102" s="115" t="n">
        <f aca="false">1000000*AB34/(AB62*1000000000000)</f>
        <v>0.03965</v>
      </c>
      <c r="AC102" s="115" t="n">
        <f aca="false">1000000*AC34/(AC62*1000000000000)</f>
        <v>0.14976</v>
      </c>
      <c r="AD102" s="115" t="n">
        <f aca="false">1000000*AD34/(AD62*1000000000000)</f>
        <v>0.14976</v>
      </c>
      <c r="AE102" s="115" t="n">
        <f aca="false">1000000*AE34/(AE62*1000000000000)</f>
        <v>0.576</v>
      </c>
      <c r="AF102" s="115" t="n">
        <f aca="false">1000000*AF34/(AF62*1000000000000)</f>
        <v>0.576</v>
      </c>
      <c r="AG102" s="115" t="n">
        <f aca="false">1000000*AG34/(AG62*1000000000000)</f>
        <v>2.048</v>
      </c>
      <c r="AH102" s="115" t="n">
        <f aca="false">1000000*AH34/(AH62*1000000000000)</f>
        <v>2.048</v>
      </c>
    </row>
    <row r="103" customFormat="false" ht="15" hidden="false" customHeight="false" outlineLevel="0" collapsed="false">
      <c r="A103" s="61" t="s">
        <v>805</v>
      </c>
      <c r="B103" s="61" t="s">
        <v>803</v>
      </c>
      <c r="C103" s="74" t="n">
        <f aca="false">IF(ISNUMBER(C88),IF(C88&gt;0,IF(C77="是",1000000/C88,"TTFT 不可達"),"SLO 不可達"),"SLO 不可達")</f>
        <v>247.785926826261</v>
      </c>
      <c r="D103" s="74" t="n">
        <f aca="false">IF(ISNUMBER(D88),IF(D88&gt;0,IF(D77="是",1000000/D88,"TTFT 不可達"),"SLO 不可達"),"SLO 不可達")</f>
        <v>675.735134166168</v>
      </c>
      <c r="E103" s="74" t="n">
        <f aca="false">IF(ISNUMBER(E88),IF(E88&gt;0,IF(E77="是",1000000/E88,"TTFT 不可達"),"SLO 不可達"),"SLO 不可達")</f>
        <v>495.571853652522</v>
      </c>
      <c r="F103" s="74" t="n">
        <f aca="false">IF(ISNUMBER(F88),IF(F88&gt;0,IF(F77="是",1000000/F88,"TTFT 不可達"),"SLO 不可達"),"SLO 不可達")</f>
        <v>675.735134166168</v>
      </c>
      <c r="G103" s="74" t="n">
        <f aca="false">IF(ISNUMBER(G88),IF(G88&gt;0,IF(G77="是",1000000/G88,"TTFT 不可達"),"SLO 不可達"),"SLO 不可達")</f>
        <v>165.190617884174</v>
      </c>
      <c r="H103" s="74" t="n">
        <f aca="false">IF(ISNUMBER(H88),IF(H88&gt;0,IF(H77="是",1000000/H88,"TTFT 不可達"),"SLO 不可達"),"SLO 不可達")</f>
        <v>675.735134166168</v>
      </c>
      <c r="I103" s="74" t="n">
        <f aca="false">IF(ISNUMBER(I88),IF(I88&gt;0,IF(I77="是",1000000/I88,"TTFT 不可達"),"SLO 不可達"),"SLO 不可達")</f>
        <v>221.847883089847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307.756450857815</v>
      </c>
      <c r="L103" s="74" t="n">
        <f aca="false">IF(ISNUMBER(L88),IF(L88&gt;0,IF(L77="是",1000000/L88,"TTFT 不可達"),"SLO 不可達"),"SLO 不可達")</f>
        <v>675.735134166168</v>
      </c>
      <c r="M103" s="74" t="n">
        <f aca="false">IF(ISNUMBER(M88),IF(M88&gt;0,IF(M77="是",1000000/M88,"TTFT 不可達"),"SLO 不可達"),"SLO 不可達")</f>
        <v>173.450148778383</v>
      </c>
      <c r="N103" s="74" t="n">
        <f aca="false">IF(ISNUMBER(N88),IF(N88&gt;0,IF(N77="是",1000000/N88,"TTFT 不可達"),"SLO 不可達"),"SLO 不可達")</f>
        <v>675.735134166168</v>
      </c>
      <c r="O103" s="74" t="n">
        <f aca="false">IF(ISNUMBER(O88),IF(O88&gt;0,IF(O77="是",1000000/O88,"TTFT 不可達"),"SLO 不可達"),"SLO 不可達")</f>
        <v>209.698642397516</v>
      </c>
      <c r="P103" s="74" t="n">
        <f aca="false">IF(ISNUMBER(P88),IF(P88&gt;0,IF(P77="是",1000000/P88,"TTFT 不可達"),"SLO 不可達"),"SLO 不可達")</f>
        <v>529.081820298486</v>
      </c>
      <c r="Q103" s="74" t="n">
        <f aca="false">IF(ISNUMBER(Q88),IF(Q88&gt;0,IF(Q77="是",1000000/Q88,"TTFT 不可達"),"SLO 不可達"),"SLO 不可達")</f>
        <v>332.277490560712</v>
      </c>
      <c r="R103" s="74" t="n">
        <f aca="false">IF(ISNUMBER(R88),IF(R88&gt;0,IF(R77="是",1000000/R88,"TTFT 不可達"),"SLO 不可達"),"SLO 不可達")</f>
        <v>1104.24773088001</v>
      </c>
      <c r="S103" s="74" t="n">
        <f aca="false">IF(ISNUMBER(S88),IF(S88&gt;0,IF(S77="是",1000000/S88,"TTFT 不可達"),"SLO 不可達"),"SLO 不可達")</f>
        <v>312.662107823287</v>
      </c>
      <c r="T103" s="74" t="n">
        <f aca="false">IF(ISNUMBER(T88),IF(T88&gt;0,IF(T77="是",1000000/T88,"TTFT 不可達"),"SLO 不可達"),"SLO 不可達")</f>
        <v>892.073629665918</v>
      </c>
      <c r="U103" s="74" t="n">
        <f aca="false">IF(ISNUMBER(U88),IF(U88&gt;0,IF(U77="是",1000000/U88,"TTFT 不可達"),"SLO 不可達"),"SLO 不可達")</f>
        <v>199.259809580009</v>
      </c>
      <c r="V103" s="74" t="n">
        <f aca="false">IF(ISNUMBER(V88),IF(V88&gt;0,IF(V77="是",1000000/V88,"TTFT 不可達"),"SLO 不可達"),"SLO 不可達")</f>
        <v>526.015850252281</v>
      </c>
      <c r="W103" s="74" t="n">
        <f aca="false">IF(ISNUMBER(W88),IF(W88&gt;0,IF(W77="是",1000000/W88,"TTFT 不可達"),"SLO 不可達"),"SLO 不可達")</f>
        <v>246.337150738546</v>
      </c>
      <c r="X103" s="74" t="n">
        <f aca="false">IF(ISNUMBER(X88),IF(X88&gt;0,IF(X77="是",1000000/X88,"TTFT 不可達"),"SLO 不可達"),"SLO 不可達")</f>
        <v>671.784187812805</v>
      </c>
      <c r="Y103" s="74" t="n">
        <f aca="false">IF(ISNUMBER(Y88),IF(Y88&gt;0,IF(Y77="是",1000000/Y88,"TTFT 不可達"),"SLO 不可達"),"SLO 不可達")</f>
        <v>253.581031177122</v>
      </c>
      <c r="Z103" s="74" t="n">
        <f aca="false">IF(ISNUMBER(Z88),IF(Z88&gt;0,IF(Z77="是",1000000/Z88,"TTFT 不可達"),"SLO 不可達"),"SLO 不可達")</f>
        <v>691.538919579623</v>
      </c>
      <c r="AA103" s="74" t="n">
        <f aca="false">IF(ISNUMBER(AA88),IF(AA88&gt;0,IF(AA77="是",1000000/AA88,"TTFT 不可達"),"SLO 不可達"),"SLO 不可達")</f>
        <v>424.959079386354</v>
      </c>
      <c r="AB103" s="74" t="n">
        <f aca="false">IF(ISNUMBER(AB88),IF(AB88&gt;0,IF(AB77="是",1000000/AB88,"TTFT 不可達"),"SLO 不可達"),"SLO 不可達")</f>
        <v>1199.49123508435</v>
      </c>
      <c r="AC103" s="74" t="n">
        <f aca="false">IF(ISNUMBER(AC88),IF(AC88&gt;0,IF(AC77="是",1000000/AC88,"TTFT 不可達"),"SLO 不可達"),"SLO 不可達")</f>
        <v>1282.63712409266</v>
      </c>
      <c r="AD103" s="74" t="n">
        <f aca="false">IF(ISNUMBER(AD88),IF(AD88&gt;0,IF(AD77="是",1000000/AD88,"TTFT 不可達"),"SLO 不可達"),"SLO 不可達")</f>
        <v>4920.52361227776</v>
      </c>
      <c r="AE103" s="74" t="n">
        <f aca="false">IF(ISNUMBER(AE88),IF(AE88&gt;0,IF(AE77="是",1000000/AE88,"TTFT 不可達"),"SLO 不可達"),"SLO 不可達")</f>
        <v>1282.63712409266</v>
      </c>
      <c r="AF103" s="74" t="n">
        <f aca="false">IF(ISNUMBER(AF88),IF(AF88&gt;0,IF(AF77="是",1000000/AF88,"TTFT 不可達"),"SLO 不可達"),"SLO 不可達")</f>
        <v>4920.52361227776</v>
      </c>
      <c r="AG103" s="74" t="n">
        <f aca="false">IF(ISNUMBER(AG88),IF(AG88&gt;0,IF(AG77="是",1000000/AG88,"TTFT 不可達"),"SLO 不可達"),"SLO 不可達")</f>
        <v>1282.63712409266</v>
      </c>
      <c r="AH103" s="74" t="n">
        <f aca="false">IF(ISNUMBER(AH88),IF(AH88&gt;0,IF(AH77="是",1000000/AH88,"TTFT 不可達"),"SLO 不可達"),"SLO 不可達")</f>
        <v>4920.52361227776</v>
      </c>
    </row>
    <row r="104" customFormat="false" ht="15" hidden="false" customHeight="false" outlineLevel="0" collapsed="false">
      <c r="A104" s="60" t="s">
        <v>806</v>
      </c>
      <c r="B104" s="61" t="s">
        <v>807</v>
      </c>
      <c r="C104" s="116" t="n">
        <f aca="false">INDEX(DC_Cost!$C$58:$Q$58,3*(C$6-1)+2)/3600*C101</f>
        <v>0.0168050260436256</v>
      </c>
      <c r="D104" s="116" t="n">
        <f aca="false">INDEX(DC_Cost!$C$58:$Q$58,3*(D$6-1)+2)/3600*D101</f>
        <v>0.0209170743182869</v>
      </c>
      <c r="E104" s="116" t="n">
        <f aca="false">INDEX(DC_Cost!$C$58:$Q$58,3*(E$6-1)+2)/3600*E101</f>
        <v>0.0168050260436256</v>
      </c>
      <c r="F104" s="116" t="n">
        <f aca="false">INDEX(DC_Cost!$C$58:$Q$58,3*(F$6-1)+2)/3600*F101</f>
        <v>0.0209170743182869</v>
      </c>
      <c r="G104" s="116" t="n">
        <f aca="false">INDEX(DC_Cost!$C$58:$Q$58,3*(G$6-1)+2)/3600*G101</f>
        <v>0.0168050260436256</v>
      </c>
      <c r="H104" s="116" t="n">
        <f aca="false">INDEX(DC_Cost!$C$58:$Q$58,3*(H$6-1)+2)/3600*H101</f>
        <v>0.0209170743182869</v>
      </c>
      <c r="I104" s="116" t="n">
        <f aca="false">INDEX(DC_Cost!$C$58:$Q$58,3*(I$6-1)+2)/3600*I101</f>
        <v>0.0168050260436256</v>
      </c>
      <c r="J104" s="116" t="n">
        <f aca="false">INDEX(DC_Cost!$C$58:$Q$58,3*(J$6-1)+2)/3600*J101</f>
        <v>0.0209170743182869</v>
      </c>
      <c r="K104" s="116" t="n">
        <f aca="false">INDEX(DC_Cost!$C$58:$Q$58,3*(K$6-1)+2)/3600*K101</f>
        <v>0.0168050260436256</v>
      </c>
      <c r="L104" s="116" t="n">
        <f aca="false">INDEX(DC_Cost!$C$58:$Q$58,3*(L$6-1)+2)/3600*L101</f>
        <v>0.0209170743182869</v>
      </c>
      <c r="M104" s="116" t="n">
        <f aca="false">INDEX(DC_Cost!$C$58:$Q$58,3*(M$6-1)+2)/3600*M101</f>
        <v>0.0117635182305379</v>
      </c>
      <c r="N104" s="116" t="n">
        <f aca="false">INDEX(DC_Cost!$C$58:$Q$58,3*(N$6-1)+2)/3600*N101</f>
        <v>0.0209170743182869</v>
      </c>
      <c r="O104" s="116" t="n">
        <f aca="false">INDEX(DC_Cost!$C$58:$Q$58,3*(O$6-1)+2)/3600*O101</f>
        <v>0.0168050260436256</v>
      </c>
      <c r="P104" s="116" t="n">
        <f aca="false">INDEX(DC_Cost!$C$58:$Q$58,3*(P$6-1)+2)/3600*P101</f>
        <v>0.0209170743182869</v>
      </c>
      <c r="Q104" s="116" t="n">
        <f aca="false">INDEX(DC_Cost!$C$58:$Q$58,3*(Q$6-1)+2)/3600*Q101</f>
        <v>0.0168050260436256</v>
      </c>
      <c r="R104" s="116" t="n">
        <f aca="false">INDEX(DC_Cost!$C$58:$Q$58,3*(R$6-1)+2)/3600*R101</f>
        <v>0.0209170743182869</v>
      </c>
      <c r="S104" s="116" t="n">
        <f aca="false">INDEX(DC_Cost!$C$58:$Q$58,3*(S$6-1)+2)/3600*S101</f>
        <v>0.0168050260436256</v>
      </c>
      <c r="T104" s="116" t="n">
        <f aca="false">INDEX(DC_Cost!$C$58:$Q$58,3*(T$6-1)+2)/3600*T101</f>
        <v>0.0209170743182869</v>
      </c>
      <c r="U104" s="116" t="n">
        <f aca="false">INDEX(DC_Cost!$C$58:$Q$58,3*(U$6-1)+2)/3600*U101</f>
        <v>0.0168050260436256</v>
      </c>
      <c r="V104" s="116" t="n">
        <f aca="false">INDEX(DC_Cost!$C$58:$Q$58,3*(V$6-1)+2)/3600*V101</f>
        <v>0.0209170743182869</v>
      </c>
      <c r="W104" s="116" t="n">
        <f aca="false">INDEX(DC_Cost!$C$58:$Q$58,3*(W$6-1)+2)/3600*W101</f>
        <v>0.0145891670626528</v>
      </c>
      <c r="X104" s="116" t="n">
        <f aca="false">INDEX(DC_Cost!$C$58:$Q$58,3*(X$6-1)+2)/3600*X101</f>
        <v>0.0181590133153745</v>
      </c>
      <c r="Y104" s="116" t="n">
        <f aca="false">INDEX(DC_Cost!$C$58:$Q$58,3*(Y$6-1)+2)/3600*Y101</f>
        <v>0.0170024057319184</v>
      </c>
      <c r="Z104" s="116" t="n">
        <f aca="false">INDEX(DC_Cost!$C$58:$Q$58,3*(Z$6-1)+2)/3600*Z101</f>
        <v>0.0211627511531947</v>
      </c>
      <c r="AA104" s="116" t="n">
        <f aca="false">INDEX(DC_Cost!$C$58:$Q$58,3*(AA$6-1)+2)/3600*AA101</f>
        <v>0.0240071800623222</v>
      </c>
      <c r="AB104" s="116" t="n">
        <f aca="false">INDEX(DC_Cost!$C$58:$Q$58,3*(AB$6-1)+2)/3600*AB101</f>
        <v>0.0298815347404098</v>
      </c>
      <c r="AC104" s="116" t="n">
        <f aca="false">INDEX(DC_Cost!$C$58:$Q$58,3*(AC$6-1)+2)/3600*AC101</f>
        <v>0.0557498724040708</v>
      </c>
      <c r="AD104" s="116" t="n">
        <f aca="false">INDEX(DC_Cost!$C$58:$Q$58,3*(AD$6-1)+2)/3600*AD101</f>
        <v>0.0693913964360257</v>
      </c>
      <c r="AE104" s="116" t="n">
        <f aca="false">INDEX(DC_Cost!$C$58:$Q$58,3*(AE$6-1)+2)/3600*AE101</f>
        <v>0.0557498724040708</v>
      </c>
      <c r="AF104" s="116" t="n">
        <f aca="false">INDEX(DC_Cost!$C$58:$Q$58,3*(AF$6-1)+2)/3600*AF101</f>
        <v>0.0693913964360257</v>
      </c>
      <c r="AG104" s="116" t="n">
        <f aca="false">INDEX(DC_Cost!$C$58:$Q$58,3*(AG$6-1)+2)/3600*AG101</f>
        <v>0.0557498724040708</v>
      </c>
      <c r="AH104" s="116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0" t="s">
        <v>808</v>
      </c>
      <c r="B105" s="61" t="s">
        <v>807</v>
      </c>
      <c r="C105" s="116" t="n">
        <f aca="false">IF(ISNUMBER(C103),INDEX(DC_Cost!$C$58:$Q$58,3*(C$6-1)+2)/3600*C103,C103)</f>
        <v>0.329255999075451</v>
      </c>
      <c r="D105" s="116" t="n">
        <f aca="false">IF(ISNUMBER(D103),INDEX(DC_Cost!$C$58:$Q$58,3*(D$6-1)+2)/3600*D103,D103)</f>
        <v>0.478981262565029</v>
      </c>
      <c r="E105" s="116" t="n">
        <f aca="false">IF(ISNUMBER(E103),INDEX(DC_Cost!$C$58:$Q$58,3*(E$6-1)+2)/3600*E103,E103)</f>
        <v>0.658511998150903</v>
      </c>
      <c r="F105" s="116" t="n">
        <f aca="false">IF(ISNUMBER(F103),INDEX(DC_Cost!$C$58:$Q$58,3*(F$6-1)+2)/3600*F103,F103)</f>
        <v>0.478981262565029</v>
      </c>
      <c r="G105" s="116" t="n">
        <f aca="false">IF(ISNUMBER(G103),INDEX(DC_Cost!$C$58:$Q$58,3*(G$6-1)+2)/3600*G103,G103)</f>
        <v>0.219503999383634</v>
      </c>
      <c r="H105" s="116" t="n">
        <f aca="false">IF(ISNUMBER(H103),INDEX(DC_Cost!$C$58:$Q$58,3*(H$6-1)+2)/3600*H103,H103)</f>
        <v>0.478981262565029</v>
      </c>
      <c r="I105" s="116" t="n">
        <f aca="false">IF(ISNUMBER(I103),INDEX(DC_Cost!$C$58:$Q$58,3*(I$6-1)+2)/3600*I103,I103)</f>
        <v>0.294789729687668</v>
      </c>
      <c r="J105" s="116" t="n">
        <f aca="false">IF(ISNUMBER(J103),INDEX(DC_Cost!$C$58:$Q$58,3*(J$6-1)+2)/3600*J103,J103)</f>
        <v>0.478981262565029</v>
      </c>
      <c r="K105" s="116" t="n">
        <f aca="false">IF(ISNUMBER(K103),INDEX(DC_Cost!$C$58:$Q$58,3*(K$6-1)+2)/3600*K103,K103)</f>
        <v>0.408944361760119</v>
      </c>
      <c r="L105" s="116" t="n">
        <f aca="false">IF(ISNUMBER(L103),INDEX(DC_Cost!$C$58:$Q$58,3*(L$6-1)+2)/3600*L103,L103)</f>
        <v>0.478981262565029</v>
      </c>
      <c r="M105" s="116" t="n">
        <f aca="false">IF(ISNUMBER(M103),INDEX(DC_Cost!$C$58:$Q$58,3*(M$6-1)+2)/3600*M103,M103)</f>
        <v>0.230479199352816</v>
      </c>
      <c r="N105" s="116" t="n">
        <f aca="false">IF(ISNUMBER(N103),INDEX(DC_Cost!$C$58:$Q$58,3*(N$6-1)+2)/3600*N103,N103)</f>
        <v>0.478981262565029</v>
      </c>
      <c r="O105" s="116" t="n">
        <f aca="false">IF(ISNUMBER(O103),INDEX(DC_Cost!$C$58:$Q$58,3*(O$6-1)+2)/3600*O103,O103)</f>
        <v>0.278645913800309</v>
      </c>
      <c r="P105" s="116" t="n">
        <f aca="false">IF(ISNUMBER(P103),INDEX(DC_Cost!$C$58:$Q$58,3*(P$6-1)+2)/3600*P103,P103)</f>
        <v>0.375029009849375</v>
      </c>
      <c r="Q105" s="116" t="n">
        <f aca="false">IF(ISNUMBER(Q103),INDEX(DC_Cost!$C$58:$Q$58,3*(Q$6-1)+2)/3600*Q103,Q103)</f>
        <v>0.441527727285181</v>
      </c>
      <c r="R105" s="116" t="n">
        <f aca="false">IF(ISNUMBER(R103),INDEX(DC_Cost!$C$58:$Q$58,3*(R$6-1)+2)/3600*R103,R103)</f>
        <v>0.782723800463826</v>
      </c>
      <c r="S105" s="116" t="n">
        <f aca="false">IF(ISNUMBER(S103),INDEX(DC_Cost!$C$58:$Q$58,3*(S$6-1)+2)/3600*S103,S103)</f>
        <v>0.415462960318061</v>
      </c>
      <c r="T105" s="116" t="n">
        <f aca="false">IF(ISNUMBER(T103),INDEX(DC_Cost!$C$58:$Q$58,3*(T$6-1)+2)/3600*T103,T103)</f>
        <v>0.632328455091513</v>
      </c>
      <c r="U105" s="116" t="n">
        <f aca="false">IF(ISNUMBER(U103),INDEX(DC_Cost!$C$58:$Q$58,3*(U$6-1)+2)/3600*U103,U103)</f>
        <v>0.264774874502263</v>
      </c>
      <c r="V105" s="116" t="n">
        <f aca="false">IF(ISNUMBER(V103),INDEX(DC_Cost!$C$58:$Q$58,3*(V$6-1)+2)/3600*V103,V103)</f>
        <v>0.372855758630863</v>
      </c>
      <c r="W105" s="116" t="n">
        <f aca="false">IF(ISNUMBER(W103),INDEX(DC_Cost!$C$58:$Q$58,3*(W$6-1)+2)/3600*W103,W103)</f>
        <v>0.327330876755927</v>
      </c>
      <c r="X105" s="116" t="n">
        <f aca="false">IF(ISNUMBER(X103),INDEX(DC_Cost!$C$58:$Q$58,3*(X$6-1)+2)/3600*X103,X103)</f>
        <v>0.476180713685776</v>
      </c>
      <c r="Y105" s="116" t="n">
        <f aca="false">IF(ISNUMBER(Y103),INDEX(DC_Cost!$C$58:$Q$58,3*(Y$6-1)+2)/3600*Y103,Y103)</f>
        <v>0.33695648835355</v>
      </c>
      <c r="Z105" s="116" t="n">
        <f aca="false">IF(ISNUMBER(Z103),INDEX(DC_Cost!$C$58:$Q$58,3*(Z$6-1)+2)/3600*Z103,Z103)</f>
        <v>0.49018345808204</v>
      </c>
      <c r="AA105" s="116" t="n">
        <f aca="false">IF(ISNUMBER(AA103),INDEX(DC_Cost!$C$58:$Q$58,3*(AA$6-1)+2)/3600*AA103,AA103)</f>
        <v>0.564682296697364</v>
      </c>
      <c r="AB105" s="116" t="n">
        <f aca="false">IF(ISNUMBER(AB103),INDEX(DC_Cost!$C$58:$Q$58,3*(AB$6-1)+2)/3600*AB103,AB103)</f>
        <v>0.850235243318138</v>
      </c>
      <c r="AC105" s="116" t="n">
        <f aca="false">IF(ISNUMBER(AC103),INDEX(DC_Cost!$C$58:$Q$58,3*(AC$6-1)+2)/3600*AC103,AC103)</f>
        <v>1.70435816575049</v>
      </c>
      <c r="AD105" s="116" t="n">
        <f aca="false">IF(ISNUMBER(AD103),INDEX(DC_Cost!$C$58:$Q$58,3*(AD$6-1)+2)/3600*AD103,AD103)</f>
        <v>3.48781422353906</v>
      </c>
      <c r="AE105" s="116" t="n">
        <f aca="false">IF(ISNUMBER(AE103),INDEX(DC_Cost!$C$58:$Q$58,3*(AE$6-1)+2)/3600*AE103,AE103)</f>
        <v>1.70435816575049</v>
      </c>
      <c r="AF105" s="116" t="n">
        <f aca="false">IF(ISNUMBER(AF103),INDEX(DC_Cost!$C$58:$Q$58,3*(AF$6-1)+2)/3600*AF103,AF103)</f>
        <v>3.48781422353906</v>
      </c>
      <c r="AG105" s="116" t="n">
        <f aca="false">IF(ISNUMBER(AG103),INDEX(DC_Cost!$C$58:$Q$58,3*(AG$6-1)+2)/3600*AG103,AG103)</f>
        <v>1.70435816575049</v>
      </c>
      <c r="AH105" s="116" t="n">
        <f aca="false">IF(ISNUMBER(AH103),INDEX(DC_Cost!$C$58:$Q$58,3*(AH$6-1)+2)/3600*AH103,AH103)</f>
        <v>3.48781422353906</v>
      </c>
    </row>
    <row r="106" customFormat="false" ht="15" hidden="false" customHeight="false" outlineLevel="0" collapsed="false">
      <c r="A106" s="75" t="s">
        <v>809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</row>
    <row r="107" customFormat="false" ht="15" hidden="false" customHeight="false" outlineLevel="0" collapsed="false">
      <c r="A107" s="60" t="s">
        <v>810</v>
      </c>
      <c r="B107" s="61" t="s">
        <v>811</v>
      </c>
      <c r="C107" s="117" t="n">
        <f aca="false">C23*Energy!$C$5/(C14*1000000000000000)*1000000000000</f>
        <v>0.0308571428571429</v>
      </c>
      <c r="D107" s="117" t="n">
        <f aca="false">D23*Energy!$C$5/(D14*1000000000000000)*1000000000000</f>
        <v>0.056</v>
      </c>
      <c r="E107" s="117" t="n">
        <f aca="false">E23*Energy!$C$5/(E14*1000000000000000)*1000000000000</f>
        <v>0.0308571428571429</v>
      </c>
      <c r="F107" s="117" t="n">
        <f aca="false">F23*Energy!$C$5/(F14*1000000000000000)*1000000000000</f>
        <v>0.056</v>
      </c>
      <c r="G107" s="117" t="n">
        <f aca="false">G23*Energy!$C$5/(G14*1000000000000000)*1000000000000</f>
        <v>0.0308571428571429</v>
      </c>
      <c r="H107" s="117" t="n">
        <f aca="false">H23*Energy!$C$5/(H14*1000000000000000)*1000000000000</f>
        <v>0.056</v>
      </c>
      <c r="I107" s="117" t="n">
        <f aca="false">I23*Energy!$C$5/(I14*1000000000000000)*1000000000000</f>
        <v>0.0308571428571429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0.0308571428571429</v>
      </c>
      <c r="L107" s="117" t="n">
        <f aca="false">L23*Energy!$C$5/(L14*1000000000000000)*1000000000000</f>
        <v>0.056</v>
      </c>
      <c r="M107" s="117" t="n">
        <f aca="false">M23*Energy!$C$5/(M14*1000000000000000)*1000000000000</f>
        <v>0.0216</v>
      </c>
      <c r="N107" s="117" t="n">
        <f aca="false">N23*Energy!$C$5/(N14*1000000000000000)*1000000000000</f>
        <v>0.056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0.056</v>
      </c>
      <c r="Q107" s="117" t="n">
        <f aca="false">Q23*Energy!$C$5/(Q14*1000000000000000)*1000000000000</f>
        <v>0.0308571428571429</v>
      </c>
      <c r="R107" s="117" t="n">
        <f aca="false">R23*Energy!$C$5/(R14*1000000000000000)*1000000000000</f>
        <v>0.056</v>
      </c>
      <c r="S107" s="117" t="n">
        <f aca="false">S23*Energy!$C$5/(S14*1000000000000000)*1000000000000</f>
        <v>0.0308571428571429</v>
      </c>
      <c r="T107" s="117" t="n">
        <f aca="false">T23*Energy!$C$5/(T14*1000000000000000)*1000000000000</f>
        <v>0.056</v>
      </c>
      <c r="U107" s="117" t="n">
        <f aca="false">U23*Energy!$C$5/(U14*1000000000000000)*1000000000000</f>
        <v>0.0308571428571429</v>
      </c>
      <c r="V107" s="117" t="n">
        <f aca="false">V23*Energy!$C$5/(V14*1000000000000000)*1000000000000</f>
        <v>0.056</v>
      </c>
      <c r="W107" s="117" t="n">
        <f aca="false">W23*Energy!$C$5/(W14*1000000000000000)*1000000000000</f>
        <v>0.0308571428571429</v>
      </c>
      <c r="X107" s="117" t="n">
        <f aca="false">X23*Energy!$C$5/(X14*1000000000000000)*1000000000000</f>
        <v>0.056</v>
      </c>
      <c r="Y107" s="117" t="n">
        <f aca="false">Y23*Energy!$C$5/(Y14*1000000000000000)*1000000000000</f>
        <v>0.0308571428571429</v>
      </c>
      <c r="Z107" s="117" t="n">
        <f aca="false">Z23*Energy!$C$5/(Z14*1000000000000000)*1000000000000</f>
        <v>0.056</v>
      </c>
      <c r="AA107" s="117" t="n">
        <f aca="false">AA23*Energy!$C$5/(AA14*1000000000000000)*1000000000000</f>
        <v>0.0308571428571429</v>
      </c>
      <c r="AB107" s="117" t="n">
        <f aca="false">AB23*Energy!$C$5/(AB14*1000000000000000)*1000000000000</f>
        <v>0.056</v>
      </c>
      <c r="AC107" s="117" t="n">
        <f aca="false">AC23*Energy!$C$5/(AC14*1000000000000000)*1000000000000</f>
        <v>0.0308571428571429</v>
      </c>
      <c r="AD107" s="117" t="n">
        <f aca="false">AD23*Energy!$C$5/(AD14*1000000000000000)*1000000000000</f>
        <v>0.056</v>
      </c>
      <c r="AE107" s="117" t="n">
        <f aca="false">AE23*Energy!$C$5/(AE14*1000000000000000)*1000000000000</f>
        <v>0.0308571428571429</v>
      </c>
      <c r="AF107" s="117" t="n">
        <f aca="false">AF23*Energy!$C$5/(AF14*1000000000000000)*1000000000000</f>
        <v>0.056</v>
      </c>
      <c r="AG107" s="117" t="n">
        <f aca="false">AG23*Energy!$C$5/(AG14*1000000000000000)*1000000000000</f>
        <v>0.0308571428571429</v>
      </c>
      <c r="AH107" s="117" t="n">
        <f aca="false">AH23*Energy!$C$5/(AH14*1000000000000000)*1000000000000</f>
        <v>0.056</v>
      </c>
    </row>
    <row r="108" customFormat="false" ht="15" hidden="false" customHeight="false" outlineLevel="0" collapsed="false">
      <c r="A108" s="61" t="s">
        <v>812</v>
      </c>
      <c r="B108" s="61" t="s">
        <v>739</v>
      </c>
      <c r="C108" s="89" t="n">
        <f aca="false">IF(C$6=1,Energy!$C$7,Energy!$C$6)</f>
        <v>10</v>
      </c>
      <c r="D108" s="89" t="n">
        <f aca="false">IF(D$6=1,Energy!$C$7,Energy!$C$6)</f>
        <v>10</v>
      </c>
      <c r="E108" s="89" t="n">
        <f aca="false">IF(E$6=1,Energy!$C$7,Energy!$C$6)</f>
        <v>10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  <c r="T108" s="89" t="n">
        <f aca="false">IF(T$6=1,Energy!$C$7,Energy!$C$6)</f>
        <v>10</v>
      </c>
      <c r="U108" s="89" t="n">
        <f aca="false">IF(U$6=1,Energy!$C$7,Energy!$C$6)</f>
        <v>10</v>
      </c>
      <c r="V108" s="89" t="n">
        <f aca="false">IF(V$6=1,Energy!$C$7,Energy!$C$6)</f>
        <v>10</v>
      </c>
      <c r="W108" s="89" t="n">
        <f aca="false">IF(W$6=1,Energy!$C$7,Energy!$C$6)</f>
        <v>10</v>
      </c>
      <c r="X108" s="89" t="n">
        <f aca="false">IF(X$6=1,Energy!$C$7,Energy!$C$6)</f>
        <v>10</v>
      </c>
      <c r="Y108" s="89" t="n">
        <f aca="false">IF(Y$6=1,Energy!$C$7,Energy!$C$6)</f>
        <v>10</v>
      </c>
      <c r="Z108" s="89" t="n">
        <f aca="false">IF(Z$6=1,Energy!$C$7,Energy!$C$6)</f>
        <v>10</v>
      </c>
      <c r="AA108" s="89" t="n">
        <f aca="false">IF(AA$6=1,Energy!$C$7,Energy!$C$6)</f>
        <v>10</v>
      </c>
      <c r="AB108" s="89" t="n">
        <f aca="false">IF(AB$6=1,Energy!$C$7,Energy!$C$6)</f>
        <v>10</v>
      </c>
      <c r="AC108" s="89" t="n">
        <f aca="false">IF(AC$6=1,Energy!$C$7,Energy!$C$6)</f>
        <v>10</v>
      </c>
      <c r="AD108" s="89" t="n">
        <f aca="false">IF(AD$6=1,Energy!$C$7,Energy!$C$6)</f>
        <v>10</v>
      </c>
      <c r="AE108" s="89" t="n">
        <f aca="false">IF(AE$6=1,Energy!$C$7,Energy!$C$6)</f>
        <v>10</v>
      </c>
      <c r="AF108" s="89" t="n">
        <f aca="false">IF(AF$6=1,Energy!$C$7,Energy!$C$6)</f>
        <v>10</v>
      </c>
      <c r="AG108" s="89" t="n">
        <f aca="false">IF(AG$6=1,Energy!$C$7,Energy!$C$6)</f>
        <v>10</v>
      </c>
      <c r="AH108" s="89" t="n">
        <f aca="false">IF(AH$6=1,Energy!$C$7,Energy!$C$6)</f>
        <v>10</v>
      </c>
    </row>
    <row r="109" customFormat="false" ht="15" hidden="false" customHeight="false" outlineLevel="0" collapsed="false">
      <c r="A109" s="61" t="s">
        <v>813</v>
      </c>
      <c r="B109" s="61" t="s">
        <v>493</v>
      </c>
      <c r="C109" s="74" t="n">
        <f aca="false">(C47+1)*C65/C49</f>
        <v>210.622552323537</v>
      </c>
      <c r="D109" s="74" t="n">
        <f aca="false">(D47+1)*D65/D49</f>
        <v>210.622552323537</v>
      </c>
      <c r="E109" s="74" t="n">
        <f aca="false">(E47+1)*E65/E49</f>
        <v>210.622552323537</v>
      </c>
      <c r="F109" s="74" t="n">
        <f aca="false">(F47+1)*F65/F49</f>
        <v>210.622552323537</v>
      </c>
      <c r="G109" s="74" t="n">
        <f aca="false">(G47+1)*G65/G49</f>
        <v>210.622552323537</v>
      </c>
      <c r="H109" s="74" t="n">
        <f aca="false">(H47+1)*H65/H49</f>
        <v>210.622552323537</v>
      </c>
      <c r="I109" s="74" t="n">
        <f aca="false">(I47+1)*I65/I49</f>
        <v>210.622552323537</v>
      </c>
      <c r="J109" s="74" t="n">
        <f aca="false">(J47+1)*J65/J49</f>
        <v>210.622552323537</v>
      </c>
      <c r="K109" s="74" t="n">
        <f aca="false">(K47+1)*K65/K49</f>
        <v>210.622552323537</v>
      </c>
      <c r="L109" s="74" t="n">
        <f aca="false">(L47+1)*L65/L49</f>
        <v>210.622552323537</v>
      </c>
      <c r="M109" s="74" t="n">
        <f aca="false">(M47+1)*M65/M49</f>
        <v>210.622552323537</v>
      </c>
      <c r="N109" s="74" t="n">
        <f aca="false">(N47+1)*N65/N49</f>
        <v>210.622552323537</v>
      </c>
      <c r="O109" s="74" t="n">
        <f aca="false">(O47+1)*O65/O49</f>
        <v>210.622552323537</v>
      </c>
      <c r="P109" s="74" t="n">
        <f aca="false">(P47+1)*P65/P49</f>
        <v>210.622552323537</v>
      </c>
      <c r="Q109" s="74" t="n">
        <f aca="false">(Q47+1)*Q65/Q49</f>
        <v>210.622552323537</v>
      </c>
      <c r="R109" s="74" t="n">
        <f aca="false">(R47+1)*R65/R49</f>
        <v>210.622552323537</v>
      </c>
      <c r="S109" s="74" t="n">
        <f aca="false">(S47+1)*S65/S49</f>
        <v>245.177814814118</v>
      </c>
      <c r="T109" s="74" t="n">
        <f aca="false">(T47+1)*T65/T49</f>
        <v>245.177814814118</v>
      </c>
      <c r="U109" s="74" t="n">
        <f aca="false">(U47+1)*U65/U49</f>
        <v>180.727278128564</v>
      </c>
      <c r="V109" s="74" t="n">
        <f aca="false">(V47+1)*V65/V49</f>
        <v>180.727278128564</v>
      </c>
      <c r="W109" s="74" t="n">
        <f aca="false">(W47+1)*W65/W49</f>
        <v>209.391066253088</v>
      </c>
      <c r="X109" s="74" t="n">
        <f aca="false">(X47+1)*X65/X49</f>
        <v>209.391066253088</v>
      </c>
      <c r="Y109" s="74" t="n">
        <f aca="false">(Y47+1)*Y65/Y49</f>
        <v>215.548496605334</v>
      </c>
      <c r="Z109" s="74" t="n">
        <f aca="false">(Z47+1)*Z65/Z49</f>
        <v>215.548496605334</v>
      </c>
      <c r="AA109" s="74" t="n">
        <f aca="false">(AA47+1)*AA65/AA49</f>
        <v>210.622552323537</v>
      </c>
      <c r="AB109" s="74" t="n">
        <f aca="false">(AB47+1)*AB65/AB49</f>
        <v>210.622552323537</v>
      </c>
      <c r="AC109" s="74" t="n">
        <f aca="false">(AC47+1)*AC65/AC49</f>
        <v>838.732890959337</v>
      </c>
      <c r="AD109" s="74" t="n">
        <f aca="false">(AD47+1)*AD65/AD49</f>
        <v>838.732890959337</v>
      </c>
      <c r="AE109" s="74" t="n">
        <f aca="false">(AE47+1)*AE65/AE49</f>
        <v>838.732890959337</v>
      </c>
      <c r="AF109" s="74" t="n">
        <f aca="false">(AF47+1)*AF65/AF49</f>
        <v>838.732890959337</v>
      </c>
      <c r="AG109" s="74" t="n">
        <f aca="false">(AG47+1)*AG65/AG49</f>
        <v>838.732890959337</v>
      </c>
      <c r="AH109" s="74" t="n">
        <f aca="false">(AH47+1)*AH65/AH49</f>
        <v>838.732890959337</v>
      </c>
    </row>
    <row r="110" customFormat="false" ht="15" hidden="false" customHeight="false" outlineLevel="0" collapsed="false">
      <c r="A110" s="61" t="s">
        <v>814</v>
      </c>
      <c r="B110" s="61" t="s">
        <v>316</v>
      </c>
      <c r="C110" s="114" t="n">
        <f aca="false">IF(C87&gt;0,(C72+C87*C34*C45/1000000000)/(C87*C49),0)</f>
        <v>0.332752090932984</v>
      </c>
      <c r="D110" s="114" t="n">
        <f aca="false">IF(D87&gt;0,(D72+D87*D34*D45/1000000000)/(D87*D49),0)</f>
        <v>0.860383493663677</v>
      </c>
      <c r="E110" s="114" t="n">
        <f aca="false">IF(E87&gt;0,(E72+E87*E34*E45/1000000000)/(E87*E49),0)</f>
        <v>0.638254785892814</v>
      </c>
      <c r="F110" s="114" t="n">
        <f aca="false">IF(F87&gt;0,(F72+F87*F34*F45/1000000000)/(F87*F49),0)</f>
        <v>0.860383493663677</v>
      </c>
      <c r="G110" s="114" t="n">
        <f aca="false">IF(G87&gt;0,(G72+G87*G34*G45/1000000000)/(G87*G49),0)</f>
        <v>0.230917859279708</v>
      </c>
      <c r="H110" s="114" t="n">
        <f aca="false">IF(H87&gt;0,(H72+H87*H34*H45/1000000000)/(H87*H49),0)</f>
        <v>0.860383493663677</v>
      </c>
      <c r="I110" s="114" t="n">
        <f aca="false">IF(I87&gt;0,(I72+I87*I34*I45/1000000000)/(I87*I49),0)</f>
        <v>0.300772299485763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0.406691547238907</v>
      </c>
      <c r="L110" s="114" t="n">
        <f aca="false">IF(L87&gt;0,(L72+L87*L34*L45/1000000000)/(L87*L49),0)</f>
        <v>0.860383493663677</v>
      </c>
      <c r="M110" s="114" t="n">
        <f aca="false">IF(M87&gt;0,(M72+M87*M34*M45/1000000000)/(M87*M49),0)</f>
        <v>0.241101282445035</v>
      </c>
      <c r="N110" s="114" t="n">
        <f aca="false">IF(N87&gt;0,(N72+N87*N34*N45/1000000000)/(N87*N49),0)</f>
        <v>0.860383493663677</v>
      </c>
      <c r="O110" s="114" t="n">
        <f aca="false">IF(O87&gt;0,(O72+O87*O34*O45/1000000000)/(O87*O49),0)</f>
        <v>0.186353236322913</v>
      </c>
      <c r="P110" s="114" t="n">
        <f aca="false">IF(P87&gt;0,(P72+P87*P34*P45/1000000000)/(P87*P49),0)</f>
        <v>0.428677600306284</v>
      </c>
      <c r="Q110" s="114" t="n">
        <f aca="false">IF(Q87&gt;0,(Q72+Q87*Q34*Q45/1000000000)/(Q87*Q49),0)</f>
        <v>0.657518435933998</v>
      </c>
      <c r="R110" s="114" t="n">
        <f aca="false">IF(R87&gt;0,(R72+R87*R34*R45/1000000000)/(R87*R49),0)</f>
        <v>2.12180342684128</v>
      </c>
      <c r="S110" s="114" t="n">
        <f aca="false">IF(S87&gt;0,(S72+S87*S34*S45/1000000000)/(S87*S49),0)</f>
        <v>0.48045501508051</v>
      </c>
      <c r="T110" s="114" t="n">
        <f aca="false">IF(T87&gt;0,(T72+T87*T34*T45/1000000000)/(T87*T49),0)</f>
        <v>1.31203080084482</v>
      </c>
      <c r="U110" s="114" t="n">
        <f aca="false">IF(U87&gt;0,(U72+U87*U34*U45/1000000000)/(U87*U49),0)</f>
        <v>0.234184762457042</v>
      </c>
      <c r="V110" s="114" t="n">
        <f aca="false">IF(V87&gt;0,(V72+V87*V34*V45/1000000000)/(V87*V49),0)</f>
        <v>0.579870029644223</v>
      </c>
      <c r="W110" s="114" t="n">
        <f aca="false">IF(W87&gt;0,(W72+W87*W34*W45/1000000000)/(W87*W49),0)</f>
        <v>0.311730983731019</v>
      </c>
      <c r="X110" s="114" t="n">
        <f aca="false">IF(X87&gt;0,(X72+X87*X34*X45/1000000000)/(X87*X49),0)</f>
        <v>0.836277385754872</v>
      </c>
      <c r="Y110" s="114" t="n">
        <f aca="false">IF(Y87&gt;0,(Y72+Y87*Y34*Y45/1000000000)/(Y87*Y49),0)</f>
        <v>0.416836519740844</v>
      </c>
      <c r="Z110" s="114" t="n">
        <f aca="false">IF(Z87&gt;0,(Z72+Z87*Z34*Z45/1000000000)/(Z87*Z49),0)</f>
        <v>0.956807925298895</v>
      </c>
      <c r="AA110" s="114" t="n">
        <f aca="false">IF(AA87&gt;0,(AA72+AA87*AA34*AA45/1000000000)/(AA87*AA49),0)</f>
        <v>0.551194180340222</v>
      </c>
      <c r="AB110" s="114" t="n">
        <f aca="false">IF(AB87&gt;0,(AB72+AB87*AB34*AB45/1000000000)/(AB87*AB49),0)</f>
        <v>1.50613808667714</v>
      </c>
      <c r="AC110" s="114" t="n">
        <f aca="false">IF(AC87&gt;0,(AC72+AC87*AC34*AC45/1000000000)/(AC87*AC49),0)</f>
        <v>3.50674200205479</v>
      </c>
      <c r="AD110" s="114" t="n">
        <f aca="false">IF(AD87&gt;0,(AD72+AD87*AD34*AD45/1000000000)/(AD87*AD49),0)</f>
        <v>12.8689300822067</v>
      </c>
      <c r="AE110" s="114" t="n">
        <f aca="false">IF(AE87&gt;0,(AE72+AE87*AE34*AE45/1000000000)/(AE87*AE49),0)</f>
        <v>4.09260745171922</v>
      </c>
      <c r="AF110" s="114" t="n">
        <f aca="false">IF(AF87&gt;0,(AF72+AF87*AF34*AF45/1000000000)/(AF87*AF49),0)</f>
        <v>13.4547955318711</v>
      </c>
      <c r="AG110" s="114" t="n">
        <f aca="false">IF(AG87&gt;0,(AG72+AG87*AG34*AG45/1000000000)/(AG87*AG49),0)</f>
        <v>6.1158665121219</v>
      </c>
      <c r="AH110" s="114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61" t="s">
        <v>815</v>
      </c>
      <c r="B111" s="61" t="s">
        <v>316</v>
      </c>
      <c r="C111" s="72" t="n">
        <f aca="false">(C47+1)*C29*C31*C30*C59/C49/1000000000</f>
        <v>0.0124286837741808</v>
      </c>
      <c r="D111" s="72" t="n">
        <f aca="false">(D47+1)*D29*D31*D30*D59/D49/1000000000</f>
        <v>0.0124286837741808</v>
      </c>
      <c r="E111" s="72" t="n">
        <f aca="false">(E47+1)*E29*E31*E30*E59/E49/1000000000</f>
        <v>0.0124286837741808</v>
      </c>
      <c r="F111" s="72" t="n">
        <f aca="false">(F47+1)*F29*F31*F30*F59/F49/1000000000</f>
        <v>0.0124286837741808</v>
      </c>
      <c r="G111" s="72" t="n">
        <f aca="false">(G47+1)*G29*G31*G30*G59/G49/1000000000</f>
        <v>0.0124286837741808</v>
      </c>
      <c r="H111" s="72" t="n">
        <f aca="false">(H47+1)*H29*H31*H30*H59/H49/1000000000</f>
        <v>0.0124286837741808</v>
      </c>
      <c r="I111" s="72" t="n">
        <f aca="false">(I47+1)*I29*I31*I30*I59/I49/1000000000</f>
        <v>0.0124286837741808</v>
      </c>
      <c r="J111" s="72" t="n">
        <f aca="false">(J47+1)*J29*J31*J30*J59/J49/1000000000</f>
        <v>0.0124286837741808</v>
      </c>
      <c r="K111" s="72" t="n">
        <f aca="false">(K47+1)*K29*K31*K30*K59/K49/1000000000</f>
        <v>0.0124286837741808</v>
      </c>
      <c r="L111" s="72" t="n">
        <f aca="false">(L47+1)*L29*L31*L30*L59/L49/1000000000</f>
        <v>0.0124286837741808</v>
      </c>
      <c r="M111" s="72" t="n">
        <f aca="false">(M47+1)*M29*M31*M30*M59/M49/1000000000</f>
        <v>0.0124286837741808</v>
      </c>
      <c r="N111" s="72" t="n">
        <f aca="false">(N47+1)*N29*N31*N30*N59/N49/1000000000</f>
        <v>0.0124286837741808</v>
      </c>
      <c r="O111" s="72" t="n">
        <f aca="false">(O47+1)*O29*O31*O30*O59/O49/1000000000</f>
        <v>0.0124286837741808</v>
      </c>
      <c r="P111" s="72" t="n">
        <f aca="false">(P47+1)*P29*P31*P30*P59/P49/1000000000</f>
        <v>0.0124286837741808</v>
      </c>
      <c r="Q111" s="72" t="n">
        <f aca="false">(Q47+1)*Q29*Q31*Q30*Q59/Q49/1000000000</f>
        <v>0.0124286837741808</v>
      </c>
      <c r="R111" s="72" t="n">
        <f aca="false">(R47+1)*R29*R31*R30*R59/R49/1000000000</f>
        <v>0.0124286837741808</v>
      </c>
      <c r="S111" s="72" t="n">
        <f aca="false">(S47+1)*S29*S31*S30*S59/S49/1000000000</f>
        <v>0.0144677647058824</v>
      </c>
      <c r="T111" s="72" t="n">
        <f aca="false">(T47+1)*T29*T31*T30*T59/T49/1000000000</f>
        <v>0.0144677647058824</v>
      </c>
      <c r="U111" s="72" t="n">
        <f aca="false">(U47+1)*U29*U31*U30*U59/U49/1000000000</f>
        <v>0.0106645853658537</v>
      </c>
      <c r="V111" s="72" t="n">
        <f aca="false">(V47+1)*V29*V31*V30*V59/V49/1000000000</f>
        <v>0.0106645853658537</v>
      </c>
      <c r="W111" s="72" t="n">
        <f aca="false">(W47+1)*W29*W31*W30*W59/W49/1000000000</f>
        <v>0.0124286837741808</v>
      </c>
      <c r="X111" s="72" t="n">
        <f aca="false">(X47+1)*X29*X31*X30*X59/X49/1000000000</f>
        <v>0.0124286837741808</v>
      </c>
      <c r="Y111" s="72" t="n">
        <f aca="false">(Y47+1)*Y29*Y31*Y30*Y59/Y49/1000000000</f>
        <v>0.0124286837741808</v>
      </c>
      <c r="Z111" s="72" t="n">
        <f aca="false">(Z47+1)*Z29*Z31*Z30*Z59/Z49/1000000000</f>
        <v>0.0124286837741808</v>
      </c>
      <c r="AA111" s="72" t="n">
        <f aca="false">(AA47+1)*AA29*AA31*AA30*AA59/AA49/1000000000</f>
        <v>0.0124286837741808</v>
      </c>
      <c r="AB111" s="72" t="n">
        <f aca="false">(AB47+1)*AB29*AB31*AB30*AB59/AB49/1000000000</f>
        <v>0.0124286837741808</v>
      </c>
      <c r="AC111" s="72" t="n">
        <f aca="false">(AC47+1)*AC29*AC31*AC30*AC59/AC49/1000000000</f>
        <v>0.0931423608369523</v>
      </c>
      <c r="AD111" s="72" t="n">
        <f aca="false">(AD47+1)*AD29*AD31*AD30*AD59/AD49/1000000000</f>
        <v>0.0931423608369523</v>
      </c>
      <c r="AE111" s="72" t="n">
        <f aca="false">(AE47+1)*AE29*AE31*AE30*AE59/AE49/1000000000</f>
        <v>0.0931423608369523</v>
      </c>
      <c r="AF111" s="72" t="n">
        <f aca="false">(AF47+1)*AF29*AF31*AF30*AF59/AF49/1000000000</f>
        <v>0.0931423608369523</v>
      </c>
      <c r="AG111" s="72" t="n">
        <f aca="false">(AG47+1)*AG29*AG31*AG30*AG59/AG49/1000000000</f>
        <v>0.0931423608369523</v>
      </c>
      <c r="AH111" s="72" t="n">
        <f aca="false">(AH47+1)*AH29*AH31*AH30*AH59/AH49/1000000000</f>
        <v>0.0931423608369523</v>
      </c>
    </row>
    <row r="112" customFormat="false" ht="15" hidden="false" customHeight="false" outlineLevel="0" collapsed="false">
      <c r="A112" s="61" t="s">
        <v>816</v>
      </c>
      <c r="B112" s="61" t="s">
        <v>817</v>
      </c>
      <c r="C112" s="72" t="n">
        <f aca="false">(C109*C107+C110*C24+C111*C108)/1000</f>
        <v>0.0132785388423849</v>
      </c>
      <c r="D112" s="72" t="n">
        <f aca="false">(D109*D107+D110*D24+D111*D108)/1000</f>
        <v>0.0334287371094518</v>
      </c>
      <c r="E112" s="72" t="n">
        <f aca="false">(E109*E107+E110*E24+E111*E108)/1000</f>
        <v>0.0193885927415815</v>
      </c>
      <c r="F112" s="72" t="n">
        <f aca="false">(F109*F107+F110*F24+F111*F108)/1000</f>
        <v>0.0334287371094518</v>
      </c>
      <c r="G112" s="72" t="n">
        <f aca="false">(G109*G107+G110*G24+G111*G108)/1000</f>
        <v>0.0112418542093194</v>
      </c>
      <c r="H112" s="72" t="n">
        <f aca="false">(H109*H107+H110*H24+H111*H108)/1000</f>
        <v>0.0334287371094518</v>
      </c>
      <c r="I112" s="72" t="n">
        <f aca="false">(I109*I107+I110*I24+I111*I108)/1000</f>
        <v>0.0126389430134405</v>
      </c>
      <c r="J112" s="72" t="n">
        <f aca="false">(J109*J107+J110*J24+J111*J108)/1000</f>
        <v>0.0334287371094518</v>
      </c>
      <c r="K112" s="72" t="n">
        <f aca="false">(K109*K107+K110*K24+K111*K108)/1000</f>
        <v>0.0147573279685034</v>
      </c>
      <c r="L112" s="72" t="n">
        <f aca="false">(L109*L107+L110*L24+L111*L108)/1000</f>
        <v>0.0334287371094518</v>
      </c>
      <c r="M112" s="72" t="n">
        <f aca="false">(M109*M107+M110*M24+M111*M108)/1000</f>
        <v>0.00949575961683092</v>
      </c>
      <c r="N112" s="72" t="n">
        <f aca="false">(N109*N107+N110*N24+N111*N108)/1000</f>
        <v>0.0334287371094518</v>
      </c>
      <c r="O112" s="72" t="n">
        <f aca="false">(O109*O107+O110*O24+O111*O108)/1000</f>
        <v>0.0103505617501835</v>
      </c>
      <c r="P112" s="72" t="n">
        <f aca="false">(P109*P107+P110*P24+P111*P108)/1000</f>
        <v>0.022636089775517</v>
      </c>
      <c r="Q112" s="72" t="n">
        <f aca="false">(Q109*Q107+Q110*Q24+Q111*Q108)/1000</f>
        <v>0.0197738657424052</v>
      </c>
      <c r="R112" s="72" t="n">
        <f aca="false">(R109*R107+R110*R24+R111*R108)/1000</f>
        <v>0.0649642354388919</v>
      </c>
      <c r="S112" s="72" t="n">
        <f aca="false">(S109*S107+S110*S24+S111*S108)/1000</f>
        <v>0.0173192648057904</v>
      </c>
      <c r="T112" s="72" t="n">
        <f aca="false">(T109*T107+T110*T24+T111*T108)/1000</f>
        <v>0.0466754052977699</v>
      </c>
      <c r="U112" s="72" t="n">
        <f aca="false">(U109*U107+U110*U24+U111*U108)/1000</f>
        <v>0.0103670685421951</v>
      </c>
      <c r="V112" s="72" t="n">
        <f aca="false">(V109*V107+V110*V24+V111*V108)/1000</f>
        <v>0.0247241241699637</v>
      </c>
      <c r="W112" s="72" t="n">
        <f aca="false">(W109*W107+W110*W24+W111*W108)/1000</f>
        <v>0.0128201165567432</v>
      </c>
      <c r="X112" s="72" t="n">
        <f aca="false">(X109*X107+X110*X24+X111*X108)/1000</f>
        <v>0.0327571211917865</v>
      </c>
      <c r="Y112" s="72" t="n">
        <f aca="false">(Y109*Y107+Y110*Y24+Y111*Y108)/1000</f>
        <v>0.0151122279849519</v>
      </c>
      <c r="Z112" s="72" t="n">
        <f aca="false">(Z109*Z107+Z110*Z24+Z111*Z108)/1000</f>
        <v>0.0361152007801129</v>
      </c>
      <c r="AA112" s="72" t="n">
        <f aca="false">(AA109*AA107+AA110*AA24+AA111*AA108)/1000</f>
        <v>0.0176473806305297</v>
      </c>
      <c r="AB112" s="72" t="n">
        <f aca="false">(AB109*AB107+AB110*AB24+AB111*AB108)/1000</f>
        <v>0.0495726019347884</v>
      </c>
      <c r="AC112" s="72" t="n">
        <f aca="false">(AC109*AC107+AC110*AC24+AC111*AC108)/1000</f>
        <v>0.096947164284782</v>
      </c>
      <c r="AD112" s="72" t="n">
        <f aca="false">(AD109*AD107+AD110*AD24+AD111*AD108)/1000</f>
        <v>0.369623717557259</v>
      </c>
      <c r="AE112" s="72" t="n">
        <f aca="false">(AE109*AE107+AE110*AE24+AE111*AE108)/1000</f>
        <v>0.108664473278071</v>
      </c>
      <c r="AF112" s="72" t="n">
        <f aca="false">(AF109*AF107+AF110*AF24+AF111*AF108)/1000</f>
        <v>0.384270353798869</v>
      </c>
      <c r="AG112" s="72" t="n">
        <f aca="false">(AG109*AG107+AG110*AG24+AG111*AG108)/1000</f>
        <v>0.149129654486124</v>
      </c>
      <c r="AH112" s="72" t="n">
        <f aca="false">(AH109*AH107+AH110*AH24+AH111*AH108)/1000</f>
        <v>0.434851830308937</v>
      </c>
    </row>
    <row r="113" customFormat="false" ht="15" hidden="false" customHeight="false" outlineLevel="0" collapsed="false">
      <c r="A113" s="61" t="s">
        <v>818</v>
      </c>
      <c r="B113" s="61" t="s">
        <v>817</v>
      </c>
      <c r="C113" s="72" t="n">
        <f aca="false">C67*C107/1000</f>
        <v>0.00409757715802171</v>
      </c>
      <c r="D113" s="72" t="n">
        <f aca="false">D67*D107/1000</f>
        <v>0.00743634373122458</v>
      </c>
      <c r="E113" s="72" t="n">
        <f aca="false">E67*E107/1000</f>
        <v>0.00409757715802171</v>
      </c>
      <c r="F113" s="72" t="n">
        <f aca="false">F67*F107/1000</f>
        <v>0.00743634373122458</v>
      </c>
      <c r="G113" s="72" t="n">
        <f aca="false">G67*G107/1000</f>
        <v>0.00409757715802171</v>
      </c>
      <c r="H113" s="72" t="n">
        <f aca="false">H67*H107/1000</f>
        <v>0.00743634373122458</v>
      </c>
      <c r="I113" s="72" t="n">
        <f aca="false">I67*I107/1000</f>
        <v>0.00409757715802171</v>
      </c>
      <c r="J113" s="72" t="n">
        <f aca="false">J67*J107/1000</f>
        <v>0.00743634373122458</v>
      </c>
      <c r="K113" s="72" t="n">
        <f aca="false">K67*K107/1000</f>
        <v>0.00409757715802171</v>
      </c>
      <c r="L113" s="72" t="n">
        <f aca="false">L67*L107/1000</f>
        <v>0.00743634373122458</v>
      </c>
      <c r="M113" s="72" t="n">
        <f aca="false">M67*M107/1000</f>
        <v>0.00286830401061519</v>
      </c>
      <c r="N113" s="72" t="n">
        <f aca="false">N67*N107/1000</f>
        <v>0.00743634373122458</v>
      </c>
      <c r="O113" s="72" t="n">
        <f aca="false">O67*O107/1000</f>
        <v>0.00409757715802171</v>
      </c>
      <c r="P113" s="72" t="n">
        <f aca="false">P67*P107/1000</f>
        <v>0.00743634373122458</v>
      </c>
      <c r="Q113" s="72" t="n">
        <f aca="false">Q67*Q107/1000</f>
        <v>0.00409757715802171</v>
      </c>
      <c r="R113" s="72" t="n">
        <f aca="false">R67*R107/1000</f>
        <v>0.00743634373122458</v>
      </c>
      <c r="S113" s="72" t="n">
        <f aca="false">S67*S107/1000</f>
        <v>0.00409757715802171</v>
      </c>
      <c r="T113" s="72" t="n">
        <f aca="false">T67*T107/1000</f>
        <v>0.00743634373122458</v>
      </c>
      <c r="U113" s="72" t="n">
        <f aca="false">U67*U107/1000</f>
        <v>0.00409757715802171</v>
      </c>
      <c r="V113" s="72" t="n">
        <f aca="false">V67*V107/1000</f>
        <v>0.00743634373122458</v>
      </c>
      <c r="W113" s="72" t="n">
        <f aca="false">W67*W107/1000</f>
        <v>0.0035572832529566</v>
      </c>
      <c r="X113" s="72" t="n">
        <f aca="false">X67*X107/1000</f>
        <v>0.00645581034795827</v>
      </c>
      <c r="Y113" s="72" t="n">
        <f aca="false">Y67*Y107/1000</f>
        <v>0.00414570433736119</v>
      </c>
      <c r="Z113" s="72" t="n">
        <f aca="false">Z67*Z107/1000</f>
        <v>0.00752368564928512</v>
      </c>
      <c r="AA113" s="72" t="n">
        <f aca="false">AA67*AA107/1000</f>
        <v>0.00409757715802171</v>
      </c>
      <c r="AB113" s="72" t="n">
        <f aca="false">AB67*AB107/1000</f>
        <v>0.00743634373122458</v>
      </c>
      <c r="AC113" s="72" t="n">
        <f aca="false">AC67*AC107/1000</f>
        <v>0.0135935167926857</v>
      </c>
      <c r="AD113" s="72" t="n">
        <f aca="false">AD67*AD107/1000</f>
        <v>0.0246697156608</v>
      </c>
      <c r="AE113" s="72" t="n">
        <f aca="false">AE67*AE107/1000</f>
        <v>0.0135935167926857</v>
      </c>
      <c r="AF113" s="72" t="n">
        <f aca="false">AF67*AF107/1000</f>
        <v>0.0246697156608</v>
      </c>
      <c r="AG113" s="72" t="n">
        <f aca="false">AG67*AG107/1000</f>
        <v>0.0135935167926857</v>
      </c>
      <c r="AH113" s="72" t="n">
        <f aca="false">AH67*AH107/1000</f>
        <v>0.0246697156608</v>
      </c>
    </row>
    <row r="114" customFormat="false" ht="15" hidden="false" customHeight="false" outlineLevel="0" collapsed="false">
      <c r="A114" s="60" t="s">
        <v>819</v>
      </c>
      <c r="B114" s="61" t="s">
        <v>743</v>
      </c>
      <c r="C114" s="74" t="n">
        <f aca="false">IF(ISNUMBER(C95),(C97*C113+C96*C112)/1000,C95)</f>
        <v>9.50324638508435</v>
      </c>
      <c r="D114" s="74" t="n">
        <f aca="false">IF(ISNUMBER(D95),(D97*D113+D96*D112)/1000,D95)</f>
        <v>7.33728128497566</v>
      </c>
      <c r="E114" s="74" t="n">
        <f aca="false">IF(ISNUMBER(E95),(E97*E113+E96*E112)/1000,E95)</f>
        <v>6.29443574734431</v>
      </c>
      <c r="F114" s="74" t="n">
        <f aca="false">IF(ISNUMBER(F95),(F97*F113+F96*F112)/1000,F95)</f>
        <v>7.33728128497566</v>
      </c>
      <c r="G114" s="74" t="n">
        <f aca="false">IF(ISNUMBER(G95),(G97*G113+G96*G112)/1000,G95)</f>
        <v>11.8995124442051</v>
      </c>
      <c r="H114" s="74" t="n">
        <f aca="false">IF(ISNUMBER(H95),(H97*H113+H96*H112)/1000,H95)</f>
        <v>7.33728128497566</v>
      </c>
      <c r="I114" s="74" t="n">
        <f aca="false">IF(ISNUMBER(I95),(I97*I113+I96*I112)/1000,I95)</f>
        <v>10.1237748047105</v>
      </c>
      <c r="J114" s="74" t="n">
        <f aca="false">IF(ISNUMBER(J95),(J97*J113+J96*J112)/1000,J95)</f>
        <v>7.33728128497566</v>
      </c>
      <c r="K114" s="74" t="n">
        <f aca="false">IF(ISNUMBER(K95),(K97*K113+K96*K112)/1000,K95)</f>
        <v>8.36994607996352</v>
      </c>
      <c r="L114" s="74" t="n">
        <f aca="false">IF(ISNUMBER(L95),(L97*L113+L96*L112)/1000,L95)</f>
        <v>7.33728128497566</v>
      </c>
      <c r="M114" s="74" t="n">
        <f aca="false">IF(ISNUMBER(M95),(M97*M113+M96*M112)/1000,M95)</f>
        <v>9.56242757219873</v>
      </c>
      <c r="N114" s="74" t="n">
        <f aca="false">IF(ISNUMBER(N95),(N97*N113+N96*N112)/1000,N95)</f>
        <v>7.33728128497566</v>
      </c>
      <c r="O114" s="74" t="n">
        <f aca="false">IF(ISNUMBER(O95),(O97*O113+O96*O112)/1000,O95)</f>
        <v>9.98942019000766</v>
      </c>
      <c r="P114" s="74" t="n">
        <f aca="false">IF(ISNUMBER(P95),(P97*P113+P96*P112)/1000,P95)</f>
        <v>7.7280067311249</v>
      </c>
      <c r="Q114" s="74" t="n">
        <f aca="false">IF(ISNUMBER(Q95),(Q97*Q113+Q96*Q112)/1000,Q95)</f>
        <v>8.72973414175519</v>
      </c>
      <c r="R114" s="74" t="n">
        <f aca="false">IF(ISNUMBER(R95),(R97*R113+R96*R112)/1000,R95)</f>
        <v>6.68552634212737</v>
      </c>
      <c r="S114" s="74" t="n">
        <f aca="false">IF(ISNUMBER(S95),(S97*S113+S96*S112)/1000,S95)</f>
        <v>8.71645791703756</v>
      </c>
      <c r="T114" s="74" t="n">
        <f aca="false">IF(ISNUMBER(T95),(T97*T113+T96*T112)/1000,T95)</f>
        <v>6.77567388444752</v>
      </c>
      <c r="U114" s="74" t="n">
        <f aca="false">IF(ISNUMBER(U95),(U97*U113+U96*U112)/1000,U95)</f>
        <v>10.3404662825754</v>
      </c>
      <c r="V114" s="74" t="n">
        <f aca="false">IF(ISNUMBER(V95),(V97*V113+V96*V112)/1000,V95)</f>
        <v>7.95636854594372</v>
      </c>
      <c r="W114" s="74" t="n">
        <f aca="false">IF(ISNUMBER(W95),(W97*W113+W96*W112)/1000,W95)</f>
        <v>5.3496840894383</v>
      </c>
      <c r="X114" s="74" t="n">
        <f aca="false">IF(ISNUMBER(X95),(X97*X113+X96*X112)/1000,X95)</f>
        <v>4.54779380694189</v>
      </c>
      <c r="Y114" s="74" t="n">
        <f aca="false">IF(ISNUMBER(Y95),(Y97*Y113+Y96*Y112)/1000,Y95)</f>
        <v>16.0471322105446</v>
      </c>
      <c r="Z114" s="74" t="n">
        <f aca="false">IF(ISNUMBER(Z95),(Z97*Z113+Z96*Z112)/1000,Z95)</f>
        <v>12.1042761766842</v>
      </c>
      <c r="AA114" s="74" t="n">
        <f aca="false">IF(ISNUMBER(AA95),(AA97*AA113+AA96*AA112)/1000,AA95)</f>
        <v>6.37550722943314</v>
      </c>
      <c r="AB114" s="74" t="n">
        <f aca="false">IF(ISNUMBER(AB95),(AB97*AB113+AB96*AB112)/1000,AB95)</f>
        <v>5.10988154589834</v>
      </c>
      <c r="AC114" s="74" t="n">
        <f aca="false">IF(ISNUMBER(AC95),(AC97*AC113+AC96*AC112)/1000,AC95)</f>
        <v>9.15173267203967</v>
      </c>
      <c r="AD114" s="74" t="n">
        <f aca="false">IF(ISNUMBER(AD95),(AD97*AD113+AD96*AD112)/1000,AD95)</f>
        <v>7.15723850535634</v>
      </c>
      <c r="AE114" s="74" t="n">
        <f aca="false">IF(ISNUMBER(AE95),(AE97*AE113+AE96*AE112)/1000,AE95)</f>
        <v>9.67305562039299</v>
      </c>
      <c r="AF114" s="74" t="n">
        <f aca="false">IF(ISNUMBER(AF95),(AF97*AF113+AF96*AF112)/1000,AF95)</f>
        <v>7.34212898141256</v>
      </c>
      <c r="AG114" s="74" t="n">
        <f aca="false">IF(ISNUMBER(AG95),(AG97*AG113+AG96*AG112)/1000,AG95)</f>
        <v>11.4734201567483</v>
      </c>
      <c r="AH114" s="74" t="n">
        <f aca="false">IF(ISNUMBER(AH95),(AH97*AH113+AH96*AH112)/1000,AH95)</f>
        <v>7.98063963445955</v>
      </c>
    </row>
    <row r="115" customFormat="false" ht="15" hidden="false" customHeight="false" outlineLevel="0" collapsed="false">
      <c r="A115" s="60" t="s">
        <v>820</v>
      </c>
      <c r="B115" s="61" t="s">
        <v>743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0" t="s">
        <v>821</v>
      </c>
      <c r="B116" s="61" t="s">
        <v>99</v>
      </c>
      <c r="C116" s="118" t="n">
        <f aca="false">IF(ISNUMBER(C114),IF(C115&gt;0,C114/C115,0),C114)</f>
        <v>0.0523306519002442</v>
      </c>
      <c r="D116" s="118" t="n">
        <f aca="false">IF(ISNUMBER(D114),IF(D115&gt;0,D114/D115,0),D114)</f>
        <v>0.0674382471045557</v>
      </c>
      <c r="E116" s="118" t="n">
        <f aca="false">IF(ISNUMBER(E114),IF(E115&gt;0,E114/E115,0),E114)</f>
        <v>0.0346609897981515</v>
      </c>
      <c r="F116" s="118" t="n">
        <f aca="false">IF(ISNUMBER(F114),IF(F115&gt;0,F114/F115,0),F114)</f>
        <v>0.0674382471045557</v>
      </c>
      <c r="G116" s="118" t="n">
        <f aca="false">IF(ISNUMBER(G114),IF(G115&gt;0,G114/G115,0),G114)</f>
        <v>0.0655259495826273</v>
      </c>
      <c r="H116" s="118" t="n">
        <f aca="false">IF(ISNUMBER(H114),IF(H115&gt;0,H114/H115,0),H114)</f>
        <v>0.0674382471045557</v>
      </c>
      <c r="I116" s="118" t="n">
        <f aca="false">IF(ISNUMBER(I114),IF(I115&gt;0,I114/I115,0),I114)</f>
        <v>0.055747658616247</v>
      </c>
      <c r="J116" s="118" t="n">
        <f aca="false">IF(ISNUMBER(J114),IF(J115&gt;0,J114/J115,0),J114)</f>
        <v>0.0674382471045557</v>
      </c>
      <c r="K116" s="118" t="n">
        <f aca="false">IF(ISNUMBER(K114),IF(K115&gt;0,K114/K115,0),K114)</f>
        <v>0.0460900114535436</v>
      </c>
      <c r="L116" s="118" t="n">
        <f aca="false">IF(ISNUMBER(L114),IF(L115&gt;0,L114/L115,0),L114)</f>
        <v>0.0674382471045557</v>
      </c>
      <c r="M116" s="118" t="n">
        <f aca="false">IF(ISNUMBER(M114),IF(M115&gt;0,M114/M115,0),M114)</f>
        <v>0.0526565394944864</v>
      </c>
      <c r="N116" s="118" t="n">
        <f aca="false">IF(ISNUMBER(N114),IF(N115&gt;0,N114/N115,0),N114)</f>
        <v>0.0674382471045557</v>
      </c>
      <c r="O116" s="118" t="n">
        <f aca="false">IF(ISNUMBER(O114),IF(O115&gt;0,O114/O115,0),O114)</f>
        <v>0.0550078204295576</v>
      </c>
      <c r="P116" s="118" t="n">
        <f aca="false">IF(ISNUMBER(P114),IF(P115&gt;0,P114/P115,0),P114)</f>
        <v>0.0710294736316627</v>
      </c>
      <c r="Q116" s="118" t="n">
        <f aca="false">IF(ISNUMBER(Q114),IF(Q115&gt;0,Q114/Q115,0),Q114)</f>
        <v>0.0480712232475506</v>
      </c>
      <c r="R116" s="118" t="n">
        <f aca="false">IF(ISNUMBER(R114),IF(R115&gt;0,R114/R115,0),R114)</f>
        <v>0.0614478524092589</v>
      </c>
      <c r="S116" s="118" t="n">
        <f aca="false">IF(ISNUMBER(S114),IF(S115&gt;0,S114/S115,0),S114)</f>
        <v>0.0479981162832465</v>
      </c>
      <c r="T116" s="118" t="n">
        <f aca="false">IF(ISNUMBER(T114),IF(T115&gt;0,T114/T115,0),T114)</f>
        <v>0.0622764143791132</v>
      </c>
      <c r="U116" s="118" t="n">
        <f aca="false">IF(ISNUMBER(U114),IF(U115&gt;0,U114/U115,0),U114)</f>
        <v>0.0569408936265166</v>
      </c>
      <c r="V116" s="118" t="n">
        <f aca="false">IF(ISNUMBER(V114),IF(V115&gt;0,V114/V115,0),V114)</f>
        <v>0.0731283873708063</v>
      </c>
      <c r="W116" s="118" t="n">
        <f aca="false">IF(ISNUMBER(W114),IF(W115&gt;0,W114/W115,0),W114)</f>
        <v>0.0294586128273034</v>
      </c>
      <c r="X116" s="118" t="n">
        <f aca="false">IF(ISNUMBER(X114),IF(X115&gt;0,X114/X115,0),X114)</f>
        <v>0.0417995754314512</v>
      </c>
      <c r="Y116" s="118" t="n">
        <f aca="false">IF(ISNUMBER(Y114),IF(Y115&gt;0,Y114/Y115,0),Y114)</f>
        <v>0.0883652654765674</v>
      </c>
      <c r="Z116" s="118" t="n">
        <f aca="false">IF(ISNUMBER(Z114),IF(Z115&gt;0,Z114/Z115,0),Z114)</f>
        <v>0.111252538388641</v>
      </c>
      <c r="AA116" s="118" t="n">
        <f aca="false">IF(ISNUMBER(AA114),IF(AA115&gt;0,AA114/AA115,0),AA114)</f>
        <v>0.0351074186642794</v>
      </c>
      <c r="AB116" s="118" t="n">
        <f aca="false">IF(ISNUMBER(AB114),IF(AB115&gt;0,AB114/AB115,0),AB114)</f>
        <v>0.0469658230321538</v>
      </c>
      <c r="AC116" s="118" t="n">
        <f aca="false">IF(ISNUMBER(AC114),IF(AC115&gt;0,AC114/AC115,0),AC114)</f>
        <v>0.050395003700659</v>
      </c>
      <c r="AD116" s="118" t="n">
        <f aca="false">IF(ISNUMBER(AD114),IF(AD115&gt;0,AD114/AD115,0),AD114)</f>
        <v>0.0657834421448193</v>
      </c>
      <c r="AE116" s="118" t="n">
        <f aca="false">IF(ISNUMBER(AE114),IF(AE115&gt;0,AE114/AE115,0),AE114)</f>
        <v>0.0532657247818997</v>
      </c>
      <c r="AF116" s="118" t="n">
        <f aca="false">IF(ISNUMBER(AF114),IF(AF115&gt;0,AF114/AF115,0),AF114)</f>
        <v>0.067482803137983</v>
      </c>
      <c r="AG116" s="118" t="n">
        <f aca="false">IF(ISNUMBER(AG114),IF(AG115&gt;0,AG114/AG115,0),AG114)</f>
        <v>0.0631796264138123</v>
      </c>
      <c r="AH116" s="118" t="n">
        <f aca="false">IF(ISNUMBER(AH114),IF(AH115&gt;0,AH114/AH115,0),AH114)</f>
        <v>0.0733514672284885</v>
      </c>
    </row>
    <row r="117" customFormat="false" ht="15" hidden="false" customHeight="false" outlineLevel="0" collapsed="false">
      <c r="A117" s="61" t="s">
        <v>822</v>
      </c>
      <c r="B117" s="61" t="s">
        <v>823</v>
      </c>
      <c r="C117" s="119" t="n">
        <f aca="false">IF(ISNUMBER(C95),C95/(C115*1000),C95)</f>
        <v>10.2254558466635</v>
      </c>
      <c r="D117" s="119" t="n">
        <f aca="false">IF(ISNUMBER(D95),D95/(D115*1000),D95)</f>
        <v>6.5319368821654</v>
      </c>
      <c r="E117" s="119" t="n">
        <f aca="false">IF(ISNUMBER(E95),E95/(E115*1000),E95)</f>
        <v>5.97955974700307</v>
      </c>
      <c r="F117" s="119" t="n">
        <f aca="false">IF(ISNUMBER(F95),F95/(F115*1000),F95)</f>
        <v>6.5319368821654</v>
      </c>
      <c r="G117" s="119" t="n">
        <f aca="false">IF(ISNUMBER(G95),G95/(G115*1000),G95)</f>
        <v>13.3961935008292</v>
      </c>
      <c r="H117" s="119" t="n">
        <f aca="false">IF(ISNUMBER(H95),H95/(H115*1000),H95)</f>
        <v>6.5319368821654</v>
      </c>
      <c r="I117" s="119" t="n">
        <f aca="false">IF(ISNUMBER(I95),I95/(I115*1000),I95)</f>
        <v>11.0465386384093</v>
      </c>
      <c r="J117" s="119" t="n">
        <f aca="false">IF(ISNUMBER(J95),J95/(J115*1000),J95)</f>
        <v>6.5319368821654</v>
      </c>
      <c r="K117" s="119" t="n">
        <f aca="false">IF(ISNUMBER(K95),K95/(K115*1000),K95)</f>
        <v>8.72587363739812</v>
      </c>
      <c r="L117" s="119" t="n">
        <f aca="false">IF(ISNUMBER(L95),L95/(L115*1000),L95)</f>
        <v>6.5319368821654</v>
      </c>
      <c r="M117" s="119" t="n">
        <f aca="false">IF(ISNUMBER(M95),M95/(M115*1000),M95)</f>
        <v>14.6077940666622</v>
      </c>
      <c r="N117" s="119" t="n">
        <f aca="false">IF(ISNUMBER(N95),N95/(N115*1000),N95)</f>
        <v>6.5319368821654</v>
      </c>
      <c r="O117" s="119" t="n">
        <f aca="false">IF(ISNUMBER(O95),O95/(O115*1000),O95)</f>
        <v>11.4782483386606</v>
      </c>
      <c r="P117" s="119" t="n">
        <f aca="false">IF(ISNUMBER(P95),P95/(P115*1000),P95)</f>
        <v>7.78387754358353</v>
      </c>
      <c r="Q117" s="119" t="n">
        <f aca="false">IF(ISNUMBER(Q95),Q95/(Q115*1000),Q95)</f>
        <v>8.2322379457866</v>
      </c>
      <c r="R117" s="119" t="n">
        <f aca="false">IF(ISNUMBER(R95),R95/(R115*1000),R95)</f>
        <v>4.44362007998722</v>
      </c>
      <c r="S117" s="119" t="n">
        <f aca="false">IF(ISNUMBER(S95),S95/(S115*1000),S95)</f>
        <v>8.62243639507889</v>
      </c>
      <c r="T117" s="119" t="n">
        <f aca="false">IF(ISNUMBER(T95),T95/(T115*1000),T95)</f>
        <v>5.27934470861231</v>
      </c>
      <c r="U117" s="119" t="n">
        <f aca="false">IF(ISNUMBER(U95),U95/(U115*1000),U95)</f>
        <v>11.8770690260984</v>
      </c>
      <c r="V117" s="119" t="n">
        <f aca="false">IF(ISNUMBER(V95),V95/(V115*1000),V95)</f>
        <v>7.81519290978012</v>
      </c>
      <c r="W117" s="119" t="n">
        <f aca="false">IF(ISNUMBER(W95),W95/(W115*1000),W95)</f>
        <v>4.43327030603584</v>
      </c>
      <c r="X117" s="119" t="n">
        <f aca="false">IF(ISNUMBER(X95),X95/(X115*1000),X95)</f>
        <v>2.7458327317775</v>
      </c>
      <c r="Y117" s="119" t="n">
        <f aca="false">IF(ISNUMBER(Y95),Y95/(Y115*1000),Y95)</f>
        <v>19.7330966866484</v>
      </c>
      <c r="Z117" s="119" t="n">
        <f aca="false">IF(ISNUMBER(Z95),Z95/(Z115*1000),Z95)</f>
        <v>13.2599852270835</v>
      </c>
      <c r="AA117" s="119" t="n">
        <f aca="false">IF(ISNUMBER(AA95),AA95/(AA115*1000),AA95)</f>
        <v>6.26570122094223</v>
      </c>
      <c r="AB117" s="119" t="n">
        <f aca="false">IF(ISNUMBER(AB95),AB95/(AB115*1000),AB95)</f>
        <v>3.87565942521425</v>
      </c>
      <c r="AC117" s="119" t="n">
        <f aca="false">IF(ISNUMBER(AC95),AC95/(AC115*1000),AC95)</f>
        <v>2.20498492836244</v>
      </c>
      <c r="AD117" s="119" t="n">
        <f aca="false">IF(ISNUMBER(AD95),AD95/(AD115*1000),AD95)</f>
        <v>1.0442157971414</v>
      </c>
      <c r="AE117" s="119" t="n">
        <f aca="false">IF(ISNUMBER(AE95),AE95/(AE115*1000),AE95)</f>
        <v>2.20498492836244</v>
      </c>
      <c r="AF117" s="119" t="n">
        <f aca="false">IF(ISNUMBER(AF95),AF95/(AF115*1000),AF95)</f>
        <v>1.0442157971414</v>
      </c>
      <c r="AG117" s="119" t="n">
        <f aca="false">IF(ISNUMBER(AG95),AG95/(AG115*1000),AG95)</f>
        <v>2.20498492836244</v>
      </c>
      <c r="AH117" s="119" t="n">
        <f aca="false">IF(ISNUMBER(AH95),AH95/(AH115*1000),AH95)</f>
        <v>1.0442157971414</v>
      </c>
    </row>
    <row r="118" customFormat="false" ht="15" hidden="false" customHeight="false" outlineLevel="0" collapsed="false">
      <c r="A118" s="60" t="s">
        <v>824</v>
      </c>
      <c r="B118" s="61" t="s">
        <v>817</v>
      </c>
      <c r="C118" s="114" t="n">
        <f aca="false">IF(ISNUMBER(C96),IF(C96&gt;0,C115*1000*(1-C94)/C96,0),C96)</f>
        <v>0.624971170995125</v>
      </c>
      <c r="D118" s="114" t="n">
        <f aca="false">IF(ISNUMBER(D96),IF(D96&gt;0,D115*1000*(1-D94)/D96,0),D96)</f>
        <v>1.02111086940665</v>
      </c>
      <c r="E118" s="114" t="n">
        <f aca="false">IF(ISNUMBER(E96),IF(E96&gt;0,E115*1000*(1-E94)/E96,0),E96)</f>
        <v>1.24994234199025</v>
      </c>
      <c r="F118" s="114" t="n">
        <f aca="false">IF(ISNUMBER(F96),IF(F96&gt;0,F115*1000*(1-F94)/F96,0),F96)</f>
        <v>1.02111086940665</v>
      </c>
      <c r="G118" s="114" t="n">
        <f aca="false">IF(ISNUMBER(G96),IF(G96&gt;0,G115*1000*(1-G94)/G96,0),G96)</f>
        <v>0.416647447330083</v>
      </c>
      <c r="H118" s="114" t="n">
        <f aca="false">IF(ISNUMBER(H96),IF(H96&gt;0,H115*1000*(1-H94)/H96,0),H96)</f>
        <v>1.02111086940665</v>
      </c>
      <c r="I118" s="114" t="n">
        <f aca="false">IF(ISNUMBER(I96),IF(I96&gt;0,I115*1000*(1-I94)/I96,0),I96)</f>
        <v>0.559549660682171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0.776230159385821</v>
      </c>
      <c r="L118" s="114" t="n">
        <f aca="false">IF(ISNUMBER(L96),IF(L96&gt;0,L115*1000*(1-L94)/L96,0),L96)</f>
        <v>1.02111086940665</v>
      </c>
      <c r="M118" s="114" t="n">
        <f aca="false">IF(ISNUMBER(M96),IF(M96&gt;0,M115*1000*(1-M94)/M96,0),M96)</f>
        <v>0.437479819696587</v>
      </c>
      <c r="N118" s="114" t="n">
        <f aca="false">IF(ISNUMBER(N96),IF(N96&gt;0,N115*1000*(1-N94)/N96,0),N96)</f>
        <v>1.02111086940665</v>
      </c>
      <c r="O118" s="114" t="n">
        <f aca="false">IF(ISNUMBER(O96),IF(O96&gt;0,O115*1000*(1-O94)/O96,0),O96)</f>
        <v>0.528906575824846</v>
      </c>
      <c r="P118" s="114" t="n">
        <f aca="false">IF(ISNUMBER(P96),IF(P96&gt;0,P115*1000*(1-P94)/P96,0),P96)</f>
        <v>0.799501417339934</v>
      </c>
      <c r="Q118" s="114" t="n">
        <f aca="false">IF(ISNUMBER(Q96),IF(Q96&gt;0,Q115*1000*(1-Q94)/Q96,0),Q96)</f>
        <v>0.838077670636463</v>
      </c>
      <c r="R118" s="114" t="n">
        <f aca="false">IF(ISNUMBER(R96),IF(R96&gt;0,R115*1000*(1-R94)/R96,0),R96)</f>
        <v>1.66864101555202</v>
      </c>
      <c r="S118" s="114" t="n">
        <f aca="false">IF(ISNUMBER(S96),IF(S96&gt;0,S115*1000*(1-S94)/S96,0),S96)</f>
        <v>0.788603316398735</v>
      </c>
      <c r="T118" s="114" t="n">
        <f aca="false">IF(ISNUMBER(T96),IF(T96&gt;0,T115*1000*(1-T94)/T96,0),T96)</f>
        <v>1.34802237371739</v>
      </c>
      <c r="U118" s="114" t="n">
        <f aca="false">IF(ISNUMBER(U96),IF(U96&gt;0,U115*1000*(1-U94)/U96,0),U96)</f>
        <v>0.502577519718467</v>
      </c>
      <c r="V118" s="114" t="n">
        <f aca="false">IF(ISNUMBER(V96),IF(V96&gt;0,V115*1000*(1-V94)/V96,0),V96)</f>
        <v>0.79486839593678</v>
      </c>
      <c r="W118" s="114" t="n">
        <f aca="false">IF(ISNUMBER(W96),IF(W96&gt;0,W115*1000*(1-W94)/W96,0),W96)</f>
        <v>0.621317035751665</v>
      </c>
      <c r="X118" s="114" t="n">
        <f aca="false">IF(ISNUMBER(X96),IF(X96&gt;0,X115*1000*(1-X94)/X96,0),X96)</f>
        <v>1.01514055047268</v>
      </c>
      <c r="Y118" s="114" t="n">
        <f aca="false">IF(ISNUMBER(Y96),IF(Y96&gt;0,Y115*1000*(1-Y94)/Y96,0),Y96)</f>
        <v>0.639587711968964</v>
      </c>
      <c r="Z118" s="114" t="n">
        <f aca="false">IF(ISNUMBER(Z96),IF(Z96&gt;0,Z115*1000*(1-Z94)/Z96,0),Z96)</f>
        <v>1.04499214514254</v>
      </c>
      <c r="AA118" s="114" t="n">
        <f aca="false">IF(ISNUMBER(AA96),IF(AA96&gt;0,AA115*1000*(1-AA94)/AA96,0),AA96)</f>
        <v>1.07184123356336</v>
      </c>
      <c r="AB118" s="114" t="n">
        <f aca="false">IF(ISNUMBER(AB96),IF(AB96&gt;0,AB115*1000*(1-AB94)/AB96,0),AB96)</f>
        <v>1.81256453301635</v>
      </c>
      <c r="AC118" s="114" t="n">
        <f aca="false">IF(ISNUMBER(AC96),IF(AC96&gt;0,AC115*1000*(1-AC94)/AC96,0),AC96)</f>
        <v>3.2350958574337</v>
      </c>
      <c r="AD118" s="114" t="n">
        <f aca="false">IF(ISNUMBER(AD96),IF(AD96&gt;0,AD115*1000*(1-AD94)/AD96,0),AD96)</f>
        <v>7.43545790299751</v>
      </c>
      <c r="AE118" s="114" t="n">
        <f aca="false">IF(ISNUMBER(AE96),IF(AE96&gt;0,AE115*1000*(1-AE94)/AE96,0),AE96)</f>
        <v>3.2350958574337</v>
      </c>
      <c r="AF118" s="114" t="n">
        <f aca="false">IF(ISNUMBER(AF96),IF(AF96&gt;0,AF115*1000*(1-AF94)/AF96,0),AF96)</f>
        <v>7.43545790299751</v>
      </c>
      <c r="AG118" s="114" t="n">
        <f aca="false">IF(ISNUMBER(AG96),IF(AG96&gt;0,AG115*1000*(1-AG94)/AG96,0),AG96)</f>
        <v>3.2350958574337</v>
      </c>
      <c r="AH118" s="114" t="n">
        <f aca="false">IF(ISNUMBER(AH96),IF(AH96&gt;0,AH115*1000*(1-AH94)/AH96,0),AH96)</f>
        <v>7.43545790299751</v>
      </c>
    </row>
    <row r="119" customFormat="false" ht="15" hidden="false" customHeight="false" outlineLevel="0" collapsed="false">
      <c r="A119" s="75" t="s">
        <v>845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</row>
    <row r="120" customFormat="false" ht="15" hidden="false" customHeight="false" outlineLevel="0" collapsed="false">
      <c r="A120" s="61" t="s">
        <v>846</v>
      </c>
      <c r="B120" s="61" t="s">
        <v>103</v>
      </c>
      <c r="C120" s="104" t="n">
        <f aca="false">IF(AND(ISNUMBER(D98),ISNUMBER(C98)),IF(D98&gt;0,C98/D98,0),"SLO 不可達")</f>
        <v>1.56528522129431</v>
      </c>
      <c r="E120" s="104" t="n">
        <f aca="false">IF(AND(ISNUMBER(F98),ISNUMBER(E98)),IF(F98&gt;0,E98/F98,0),"SLO 不可達")</f>
        <v>0.915334889924169</v>
      </c>
      <c r="G120" s="104" t="n">
        <f aca="false">IF(AND(ISNUMBER(H98),ISNUMBER(G98)),IF(H98&gt;0,G98/H98,0),"SLO 不可達")</f>
        <v>2.0506531956019</v>
      </c>
      <c r="I120" s="104" t="n">
        <f aca="false">IF(AND(ISNUMBER(J98),ISNUMBER(I98)),IF(J98&gt;0,I98/J98,0),"SLO 不可達")</f>
        <v>1.69097436206723</v>
      </c>
      <c r="K120" s="104" t="n">
        <f aca="false">IF(AND(ISNUMBER(L98),ISNUMBER(K98)),IF(L98&gt;0,K98/L98,0),"SLO 不可達")</f>
        <v>1.33573321838336</v>
      </c>
      <c r="M120" s="104" t="n">
        <f aca="false">IF(AND(ISNUMBER(N98),ISNUMBER(M98)),IF(N98&gt;0,M98/N98,0),"SLO 不可達")</f>
        <v>2.23612174470615</v>
      </c>
      <c r="O120" s="104" t="n">
        <f aca="false">IF(AND(ISNUMBER(P98),ISNUMBER(O98)),IF(P98&gt;0,O98/P98,0),"SLO 不可達")</f>
        <v>1.47445800740157</v>
      </c>
      <c r="Q120" s="104" t="n">
        <f aca="false">IF(AND(ISNUMBER(R98),ISNUMBER(Q98)),IF(R98&gt;0,Q98/R98,0),"SLO 不可達")</f>
        <v>1.85239577096268</v>
      </c>
      <c r="S120" s="104" t="n">
        <f aca="false">IF(AND(ISNUMBER(T98),ISNUMBER(S98)),IF(T98&gt;0,S98/T98,0),"SLO 不可達")</f>
        <v>1.63306234992762</v>
      </c>
      <c r="U120" s="104" t="n">
        <f aca="false">IF(AND(ISNUMBER(V98),ISNUMBER(U98)),IF(V98&gt;0,U98/V98,0),"SLO 不可達")</f>
        <v>1.51957578561464</v>
      </c>
      <c r="W120" s="104" t="n">
        <f aca="false">IF(AND(ISNUMBER(X98),ISNUMBER(W98)),IF(X98&gt;0,W98/X98,0),"SLO 不可達")</f>
        <v>1.61436941414528</v>
      </c>
      <c r="Y120" s="104" t="n">
        <f aca="false">IF(AND(ISNUMBER(Z98),ISNUMBER(Y98)),IF(Z98&gt;0,Y98/Z98,0),"SLO 不可達")</f>
        <v>1.48800705453992</v>
      </c>
      <c r="AA120" s="104" t="n">
        <f aca="false">IF(AND(ISNUMBER(AB98),ISNUMBER(AA98)),IF(AB98&gt;0,AA98/AB98,0),"SLO 不可達")</f>
        <v>1.61650429205125</v>
      </c>
      <c r="AC120" s="104" t="n">
        <f aca="false">IF(AND(ISNUMBER(AD98),ISNUMBER(AC98)),IF(AD98&gt;0,AC98/AD98,0),"SLO 不可達")</f>
        <v>2.11138850524128</v>
      </c>
      <c r="AE120" s="104" t="n">
        <f aca="false">IF(AND(ISNUMBER(AF98),ISNUMBER(AE98)),IF(AF98&gt;0,AE98/AF98,0),"SLO 不可達")</f>
        <v>2.11138850524128</v>
      </c>
      <c r="AG120" s="104" t="n">
        <f aca="false">IF(AND(ISNUMBER(AH98),ISNUMBER(AG98)),IF(AH98&gt;0,AG98/AH98,0),"SLO 不可達")</f>
        <v>2.11138850524128</v>
      </c>
    </row>
    <row r="121" customFormat="false" ht="15" hidden="false" customHeight="false" outlineLevel="0" collapsed="false">
      <c r="A121" s="61" t="s">
        <v>847</v>
      </c>
      <c r="B121" s="61" t="s">
        <v>103</v>
      </c>
      <c r="C121" s="104" t="n">
        <f aca="false">IF(AND(ISNUMBER(D105),ISNUMBER(C105)),IF(AND(D105&gt;0,C105&gt;0),C105/D105,0),"SLO 不可達")</f>
        <v>0.687408933936638</v>
      </c>
      <c r="E121" s="104" t="n">
        <f aca="false">IF(AND(ISNUMBER(F105),ISNUMBER(E105)),IF(AND(F105&gt;0,E105&gt;0),E105/F105,0),"SLO 不可達")</f>
        <v>1.37481786787328</v>
      </c>
      <c r="G121" s="104" t="n">
        <f aca="false">IF(AND(ISNUMBER(H105),ISNUMBER(G105)),IF(AND(H105&gt;0,G105&gt;0),G105/H105,0),"SLO 不可達")</f>
        <v>0.458272622624425</v>
      </c>
      <c r="I121" s="104" t="n">
        <f aca="false">IF(AND(ISNUMBER(J105),ISNUMBER(I105)),IF(AND(J105&gt;0,I105&gt;0),I105/J105,0),"SLO 不可達")</f>
        <v>0.615451485740834</v>
      </c>
      <c r="K121" s="104" t="n">
        <f aca="false">IF(AND(ISNUMBER(L105),ISNUMBER(K105)),IF(AND(L105&gt;0,K105&gt;0),K105/L105,0),"SLO 不可達")</f>
        <v>0.853779455943954</v>
      </c>
      <c r="M121" s="104" t="n">
        <f aca="false">IF(AND(ISNUMBER(N105),ISNUMBER(M105)),IF(AND(N105&gt;0,M105&gt;0),M105/N105,0),"SLO 不可達")</f>
        <v>0.481186253755646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0.657036634952532</v>
      </c>
      <c r="U121" s="104" t="n">
        <f aca="false">IF(AND(ISNUMBER(V105),ISNUMBER(U105)),IF(AND(V105&gt;0,U105&gt;0),U105/V105,0),"SLO 不可達")</f>
        <v>0.710126820823483</v>
      </c>
      <c r="W121" s="104" t="n">
        <f aca="false">IF(AND(ISNUMBER(X105),ISNUMBER(W105)),IF(AND(X105&gt;0,W105&gt;0),W105/X105,0),"SLO 不可達")</f>
        <v>0.687408933936638</v>
      </c>
      <c r="Y121" s="104" t="n">
        <f aca="false">IF(AND(ISNUMBER(Z105),ISNUMBER(Y105)),IF(AND(Z105&gt;0,Y105&gt;0),Y105/Z105,0),"SLO 不可達")</f>
        <v>0.687408933936637</v>
      </c>
      <c r="AA121" s="104" t="n">
        <f aca="false">IF(AND(ISNUMBER(AB105),ISNUMBER(AA105)),IF(AND(AB105&gt;0,AA105&gt;0),AA105/AB105,0),"SLO 不可達")</f>
        <v>0.664148306171864</v>
      </c>
      <c r="AC121" s="104" t="n">
        <f aca="false">IF(AND(ISNUMBER(AD105),ISNUMBER(AC105)),IF(AND(AD105&gt;0,AC105&gt;0),AC105/AD105,0),"SLO 不可達")</f>
        <v>0.488660822083892</v>
      </c>
      <c r="AE121" s="104" t="n">
        <f aca="false">IF(AND(ISNUMBER(AF105),ISNUMBER(AE105)),IF(AND(AF105&gt;0,AE105&gt;0),AE105/AF105,0),"SLO 不可達")</f>
        <v>0.488660822083892</v>
      </c>
      <c r="AG121" s="104" t="n">
        <f aca="false">IF(AND(ISNUMBER(AH105),ISNUMBER(AG105)),IF(AND(AH105&gt;0,AG105&gt;0),AG105/AH105,0),"SLO 不可達")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7" t="s">
        <v>848</v>
      </c>
    </row>
    <row r="2" customFormat="false" ht="15" hidden="false" customHeight="false" outlineLevel="0" collapsed="false">
      <c r="A2" s="73" t="s">
        <v>849</v>
      </c>
    </row>
    <row r="4" customFormat="false" ht="15" hidden="false" customHeight="false" outlineLevel="0" collapsed="false">
      <c r="A4" s="59" t="s">
        <v>171</v>
      </c>
      <c r="C4" s="81" t="str">
        <f aca="false">DC_Cost!C4</f>
        <v>Hopper H100</v>
      </c>
      <c r="D4" s="81" t="str">
        <f aca="false">DC_Cost!D4</f>
        <v>Hopper H100</v>
      </c>
      <c r="E4" s="81" t="str">
        <f aca="false">DC_Cost!E4</f>
        <v>Hopper H100</v>
      </c>
      <c r="F4" s="81" t="str">
        <f aca="false">DC_Cost!F4</f>
        <v>GB200 NVL72</v>
      </c>
      <c r="G4" s="81" t="str">
        <f aca="false">DC_Cost!G4</f>
        <v>GB200 NVL72</v>
      </c>
      <c r="H4" s="81" t="str">
        <f aca="false">DC_Cost!H4</f>
        <v>GB200 NVL72</v>
      </c>
      <c r="I4" s="81" t="str">
        <f aca="false">DC_Cost!I4</f>
        <v>GB300 NVL72</v>
      </c>
      <c r="J4" s="81" t="str">
        <f aca="false">DC_Cost!J4</f>
        <v>GB300 NVL72</v>
      </c>
      <c r="K4" s="81" t="str">
        <f aca="false">DC_Cost!K4</f>
        <v>GB300 NVL72</v>
      </c>
      <c r="L4" s="81" t="str">
        <f aca="false">DC_Cost!L4</f>
        <v>VR200 NVL72</v>
      </c>
      <c r="M4" s="81" t="str">
        <f aca="false">DC_Cost!M4</f>
        <v>VR200 NVL72</v>
      </c>
      <c r="N4" s="81" t="str">
        <f aca="false">DC_Cost!N4</f>
        <v>VR200 NVL72</v>
      </c>
      <c r="O4" s="81" t="str">
        <f aca="false">DC_Cost!O4</f>
        <v>Rubin Ultra（MGX NVL 單架，72 GPU）</v>
      </c>
      <c r="P4" s="81" t="str">
        <f aca="false">DC_Cost!P4</f>
        <v>Rubin Ultra（MGX NVL 單架，72 GPU）</v>
      </c>
      <c r="Q4" s="81" t="str">
        <f aca="false">DC_Cost!Q4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DC_Cost!C5</f>
        <v>低成本</v>
      </c>
      <c r="D5" s="81" t="str">
        <f aca="false">DC_Cost!D5</f>
        <v>基準</v>
      </c>
      <c r="E5" s="81" t="str">
        <f aca="false">DC_Cost!E5</f>
        <v>高成本</v>
      </c>
      <c r="F5" s="81" t="str">
        <f aca="false">DC_Cost!F5</f>
        <v>低成本</v>
      </c>
      <c r="G5" s="81" t="str">
        <f aca="false">DC_Cost!G5</f>
        <v>基準</v>
      </c>
      <c r="H5" s="81" t="str">
        <f aca="false">DC_Cost!H5</f>
        <v>高成本</v>
      </c>
      <c r="I5" s="81" t="str">
        <f aca="false">DC_Cost!I5</f>
        <v>低成本</v>
      </c>
      <c r="J5" s="81" t="str">
        <f aca="false">DC_Cost!J5</f>
        <v>基準</v>
      </c>
      <c r="K5" s="81" t="str">
        <f aca="false">DC_Cost!K5</f>
        <v>高成本</v>
      </c>
      <c r="L5" s="81" t="str">
        <f aca="false">DC_Cost!L5</f>
        <v>低成本</v>
      </c>
      <c r="M5" s="81" t="str">
        <f aca="false">DC_Cost!M5</f>
        <v>基準</v>
      </c>
      <c r="N5" s="81" t="str">
        <f aca="false">DC_Cost!N5</f>
        <v>高成本</v>
      </c>
      <c r="O5" s="81" t="str">
        <f aca="false">DC_Cost!O5</f>
        <v>低成本</v>
      </c>
      <c r="P5" s="81" t="str">
        <f aca="false">DC_Cost!P5</f>
        <v>基準</v>
      </c>
      <c r="Q5" s="81" t="str">
        <f aca="false">DC_Cost!Q5</f>
        <v>高成本</v>
      </c>
    </row>
    <row r="6" customFormat="false" ht="15" hidden="false" customHeight="false" outlineLevel="0" collapsed="false">
      <c r="A6" s="59" t="s">
        <v>452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68" t="s">
        <v>850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</row>
    <row r="8" customFormat="false" ht="15" hidden="false" customHeight="false" outlineLevel="0" collapsed="false">
      <c r="A8" s="60" t="s">
        <v>851</v>
      </c>
      <c r="B8" s="61" t="s">
        <v>852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0" t="s">
        <v>853</v>
      </c>
      <c r="B9" s="61" t="s">
        <v>852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0" t="s">
        <v>854</v>
      </c>
      <c r="B10" s="61" t="s">
        <v>99</v>
      </c>
      <c r="C10" s="64" t="n">
        <f aca="false">Serving!$C$17</f>
        <v>0.6</v>
      </c>
      <c r="D10" s="64" t="n">
        <f aca="false">Serving!$C$17</f>
        <v>0.6</v>
      </c>
      <c r="E10" s="64" t="n">
        <f aca="false">Serving!$C$17</f>
        <v>0.6</v>
      </c>
      <c r="F10" s="64" t="n">
        <f aca="false">Serving!$C$17</f>
        <v>0.6</v>
      </c>
      <c r="G10" s="64" t="n">
        <f aca="false">Serving!$C$17</f>
        <v>0.6</v>
      </c>
      <c r="H10" s="64" t="n">
        <f aca="false">Serving!$C$17</f>
        <v>0.6</v>
      </c>
      <c r="I10" s="64" t="n">
        <f aca="false">Serving!$C$17</f>
        <v>0.6</v>
      </c>
      <c r="J10" s="64" t="n">
        <f aca="false">Serving!$C$17</f>
        <v>0.6</v>
      </c>
      <c r="K10" s="64" t="n">
        <f aca="false">Serving!$C$17</f>
        <v>0.6</v>
      </c>
      <c r="L10" s="64" t="n">
        <f aca="false">Serving!$C$17</f>
        <v>0.6</v>
      </c>
      <c r="M10" s="64" t="n">
        <f aca="false">Serving!$C$17</f>
        <v>0.6</v>
      </c>
      <c r="N10" s="64" t="n">
        <f aca="false">Serving!$C$17</f>
        <v>0.6</v>
      </c>
      <c r="O10" s="64" t="n">
        <f aca="false">Serving!$C$17</f>
        <v>0.6</v>
      </c>
      <c r="P10" s="64" t="n">
        <f aca="false">Serving!$C$17</f>
        <v>0.6</v>
      </c>
      <c r="Q10" s="64" t="n">
        <f aca="false">Serving!$C$17</f>
        <v>0.6</v>
      </c>
    </row>
    <row r="12" customFormat="false" ht="15" hidden="false" customHeight="false" outlineLevel="0" collapsed="false">
      <c r="A12" s="75" t="s">
        <v>262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</row>
    <row r="13" customFormat="false" ht="15" hidden="false" customHeight="false" outlineLevel="0" collapsed="false">
      <c r="A13" s="61" t="s">
        <v>855</v>
      </c>
      <c r="B13" s="61" t="s">
        <v>793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1" t="s">
        <v>856</v>
      </c>
      <c r="B14" s="61" t="s">
        <v>793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1" t="s">
        <v>857</v>
      </c>
      <c r="B15" s="61" t="s">
        <v>793</v>
      </c>
      <c r="C15" s="98" t="n">
        <f aca="false">INDEX(Perf!$C$103:$Q$103,3*(C$6-1)+1)</f>
        <v>2149.91739152173</v>
      </c>
      <c r="D15" s="98" t="n">
        <f aca="false">INDEX(Perf!$C$103:$Q$103,3*(D$6-1)+1)</f>
        <v>2149.91739152173</v>
      </c>
      <c r="E15" s="98" t="n">
        <f aca="false">INDEX(Perf!$C$103:$Q$103,3*(E$6-1)+1)</f>
        <v>2149.91739152173</v>
      </c>
      <c r="F15" s="98" t="n">
        <f aca="false">INDEX(Perf!$C$103:$Q$103,3*(F$6-1)+1)</f>
        <v>291.04887389608</v>
      </c>
      <c r="G15" s="98" t="n">
        <f aca="false">INDEX(Perf!$C$103:$Q$103,3*(G$6-1)+1)</f>
        <v>291.04887389608</v>
      </c>
      <c r="H15" s="98" t="n">
        <f aca="false">INDEX(Perf!$C$103:$Q$103,3*(H$6-1)+1)</f>
        <v>291.04887389608</v>
      </c>
      <c r="I15" s="98" t="n">
        <f aca="false">INDEX(Perf!$C$103:$Q$103,3*(I$6-1)+1)</f>
        <v>194.032582597387</v>
      </c>
      <c r="J15" s="98" t="n">
        <f aca="false">INDEX(Perf!$C$103:$Q$103,3*(J$6-1)+1)</f>
        <v>194.032582597387</v>
      </c>
      <c r="K15" s="98" t="n">
        <f aca="false">INDEX(Perf!$C$103:$Q$103,3*(K$6-1)+1)</f>
        <v>194.032582597387</v>
      </c>
      <c r="L15" s="98" t="n">
        <f aca="false">INDEX(Perf!$C$103:$Q$103,3*(L$6-1)+1)</f>
        <v>78.000625684729</v>
      </c>
      <c r="M15" s="98" t="n">
        <f aca="false">INDEX(Perf!$C$103:$Q$103,3*(M$6-1)+1)</f>
        <v>78.000625684729</v>
      </c>
      <c r="N15" s="98" t="n">
        <f aca="false">INDEX(Perf!$C$103:$Q$103,3*(N$6-1)+1)</f>
        <v>78.000625684729</v>
      </c>
      <c r="O15" s="98" t="n">
        <f aca="false">INDEX(Perf!$C$103:$Q$103,3*(O$6-1)+1)</f>
        <v>38.3537418336927</v>
      </c>
      <c r="P15" s="98" t="n">
        <f aca="false">INDEX(Perf!$C$103:$Q$103,3*(P$6-1)+1)</f>
        <v>38.3537418336927</v>
      </c>
      <c r="Q15" s="98" t="n">
        <f aca="false">INDEX(Perf!$C$103:$Q$103,3*(Q$6-1)+1)</f>
        <v>38.3537418336927</v>
      </c>
    </row>
    <row r="16" customFormat="false" ht="15" hidden="false" customHeight="false" outlineLevel="0" collapsed="false">
      <c r="A16" s="60" t="s">
        <v>858</v>
      </c>
      <c r="B16" s="61" t="s">
        <v>807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0" t="s">
        <v>859</v>
      </c>
      <c r="B17" s="61" t="s">
        <v>807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1" t="s">
        <v>860</v>
      </c>
      <c r="B18" s="61" t="s">
        <v>807</v>
      </c>
      <c r="C18" s="125" t="n">
        <f aca="false">IF(ISNUMBER(C15),C$8/3600*C15,"SLO 不可達")</f>
        <v>0.644763128214926</v>
      </c>
      <c r="D18" s="125" t="n">
        <f aca="false">IF(ISNUMBER(D15),D$8/3600*D15,"SLO 不可達")</f>
        <v>0.921237540649102</v>
      </c>
      <c r="E18" s="125" t="n">
        <f aca="false">IF(ISNUMBER(E15),E$8/3600*E15,"SLO 不可達")</f>
        <v>1.58210369491236</v>
      </c>
      <c r="F18" s="125" t="n">
        <f aca="false">IF(ISNUMBER(F15),F$8/3600*F15,"SLO 不可達")</f>
        <v>0.121612196523219</v>
      </c>
      <c r="G18" s="125" t="n">
        <f aca="false">IF(ISNUMBER(G15),G$8/3600*G15,"SLO 不可達")</f>
        <v>0.162377864250437</v>
      </c>
      <c r="H18" s="125" t="n">
        <f aca="false">IF(ISNUMBER(H15),H$8/3600*H15,"SLO 不可達")</f>
        <v>0.263363842445387</v>
      </c>
      <c r="I18" s="125" t="n">
        <f aca="false">IF(ISNUMBER(I15),I$8/3600*I15,"SLO 不可達")</f>
        <v>0.106488526596046</v>
      </c>
      <c r="J18" s="125" t="n">
        <f aca="false">IF(ISNUMBER(J15),J$8/3600*J15,"SLO 不可達")</f>
        <v>0.137536094679954</v>
      </c>
      <c r="K18" s="125" t="n">
        <f aca="false">IF(ISNUMBER(K15),K$8/3600*K15,"SLO 不可達")</f>
        <v>0.234161906840545</v>
      </c>
      <c r="L18" s="125" t="n">
        <f aca="false">IF(ISNUMBER(L15),L$8/3600*L15,"SLO 不可達")</f>
        <v>0.0806426702715034</v>
      </c>
      <c r="M18" s="125" t="n">
        <f aca="false">IF(ISNUMBER(M15),M$8/3600*M15,"SLO 不可達")</f>
        <v>0.103646620561882</v>
      </c>
      <c r="N18" s="125" t="n">
        <f aca="false">IF(ISNUMBER(N15),N$8/3600*N15,"SLO 不可達")</f>
        <v>0.167444325103472</v>
      </c>
      <c r="O18" s="125" t="n">
        <f aca="false">IF(ISNUMBER(O15),O$8/3600*O15,"SLO 不可達")</f>
        <v>0.0630858774448701</v>
      </c>
      <c r="P18" s="125" t="n">
        <f aca="false">IF(ISNUMBER(P15),P$8/3600*P15,"SLO 不可達")</f>
        <v>0.0958818836336032</v>
      </c>
      <c r="Q18" s="125" t="n">
        <f aca="false">IF(ISNUMBER(Q15),Q$8/3600*Q15,"SLO 不可達")</f>
        <v>0.175036355331926</v>
      </c>
    </row>
    <row r="19" customFormat="false" ht="15" hidden="false" customHeight="false" outlineLevel="0" collapsed="false">
      <c r="A19" s="60" t="s">
        <v>861</v>
      </c>
      <c r="B19" s="61" t="s">
        <v>807</v>
      </c>
      <c r="C19" s="115" t="n">
        <f aca="false">C16/C$10</f>
        <v>0.0644543904243201</v>
      </c>
      <c r="D19" s="115" t="n">
        <f aca="false">D16/D$10</f>
        <v>0.0920924313444063</v>
      </c>
      <c r="E19" s="115" t="n">
        <f aca="false">E16/E$10</f>
        <v>0.158156576859415</v>
      </c>
      <c r="F19" s="115" t="n">
        <f aca="false">F16/F$10</f>
        <v>0.00888140317688737</v>
      </c>
      <c r="G19" s="115" t="n">
        <f aca="false">G16/G$10</f>
        <v>0.0118585415002735</v>
      </c>
      <c r="H19" s="115" t="n">
        <f aca="false">H16/H$10</f>
        <v>0.0192336010189992</v>
      </c>
      <c r="I19" s="115" t="n">
        <f aca="false">I16/I$10</f>
        <v>0.00777691354527593</v>
      </c>
      <c r="J19" s="115" t="n">
        <f aca="false">J16/J$10</f>
        <v>0.0100443339002927</v>
      </c>
      <c r="K19" s="115" t="n">
        <f aca="false">K16/K$10</f>
        <v>0.0171009681822706</v>
      </c>
      <c r="L19" s="115" t="n">
        <f aca="false">L16/L$10</f>
        <v>0.0062786915081113</v>
      </c>
      <c r="M19" s="115" t="n">
        <f aca="false">M16/M$10</f>
        <v>0.00806973720209615</v>
      </c>
      <c r="N19" s="115" t="n">
        <f aca="false">N16/N$10</f>
        <v>0.0130369103424904</v>
      </c>
      <c r="O19" s="115" t="n">
        <f aca="false">O16/O$10</f>
        <v>0.00499455435126443</v>
      </c>
      <c r="P19" s="115" t="n">
        <f aca="false">P16/P$10</f>
        <v>0.00759103778065283</v>
      </c>
      <c r="Q19" s="115" t="n">
        <f aca="false">Q16/Q$10</f>
        <v>0.0138577543114387</v>
      </c>
    </row>
    <row r="20" customFormat="false" ht="15" hidden="false" customHeight="false" outlineLevel="0" collapsed="false">
      <c r="A20" s="60" t="s">
        <v>862</v>
      </c>
      <c r="B20" s="61" t="s">
        <v>807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</row>
    <row r="21" customFormat="false" ht="15" hidden="false" customHeight="false" outlineLevel="0" collapsed="false">
      <c r="A21" s="61" t="s">
        <v>863</v>
      </c>
      <c r="B21" s="61" t="s">
        <v>807</v>
      </c>
      <c r="C21" s="125" t="n">
        <f aca="false">IF(ISNUMBER(C18),C18/C$10,C18)</f>
        <v>1.07460521369154</v>
      </c>
      <c r="D21" s="125" t="n">
        <f aca="false">IF(ISNUMBER(D18),D18/D$10,D18)</f>
        <v>1.53539590108184</v>
      </c>
      <c r="E21" s="125" t="n">
        <f aca="false">IF(ISNUMBER(E18),E18/E$10,E18)</f>
        <v>2.6368394915206</v>
      </c>
      <c r="F21" s="125" t="n">
        <f aca="false">IF(ISNUMBER(F18),F18/F$10,F18)</f>
        <v>0.202686994205366</v>
      </c>
      <c r="G21" s="125" t="n">
        <f aca="false">IF(ISNUMBER(G18),G18/G$10,G18)</f>
        <v>0.270629773750728</v>
      </c>
      <c r="H21" s="125" t="n">
        <f aca="false">IF(ISNUMBER(H18),H18/H$10,H18)</f>
        <v>0.438939737408979</v>
      </c>
      <c r="I21" s="125" t="n">
        <f aca="false">IF(ISNUMBER(I18),I18/I$10,I18)</f>
        <v>0.177480877660078</v>
      </c>
      <c r="J21" s="125" t="n">
        <f aca="false">IF(ISNUMBER(J18),J18/J$10,J18)</f>
        <v>0.22922682446659</v>
      </c>
      <c r="K21" s="125" t="n">
        <f aca="false">IF(ISNUMBER(K18),K18/K$10,K18)</f>
        <v>0.390269844734241</v>
      </c>
      <c r="L21" s="125" t="n">
        <f aca="false">IF(ISNUMBER(L18),L18/L$10,L18)</f>
        <v>0.134404450452506</v>
      </c>
      <c r="M21" s="125" t="n">
        <f aca="false">IF(ISNUMBER(M18),M18/M$10,M18)</f>
        <v>0.172744367603137</v>
      </c>
      <c r="N21" s="125" t="n">
        <f aca="false">IF(ISNUMBER(N18),N18/N$10,N18)</f>
        <v>0.279073875172454</v>
      </c>
      <c r="O21" s="125" t="n">
        <f aca="false">IF(ISNUMBER(O18),O18/O$10,O18)</f>
        <v>0.105143129074784</v>
      </c>
      <c r="P21" s="125" t="n">
        <f aca="false">IF(ISNUMBER(P18),P18/P$10,P18)</f>
        <v>0.159803139389339</v>
      </c>
      <c r="Q21" s="125" t="n">
        <f aca="false">IF(ISNUMBER(Q18),Q18/Q$10,Q18)</f>
        <v>0.291727258886544</v>
      </c>
    </row>
    <row r="22" customFormat="false" ht="15" hidden="false" customHeight="false" outlineLevel="0" collapsed="false">
      <c r="A22" s="61" t="s">
        <v>864</v>
      </c>
      <c r="B22" s="61" t="s">
        <v>807</v>
      </c>
      <c r="C22" s="115" t="n">
        <f aca="false">IF(ISNUMBER(C15),C$9/3600*C15,"SLO 不可達")</f>
        <v>0.492753097058292</v>
      </c>
      <c r="D22" s="115" t="n">
        <f aca="false">IF(ISNUMBER(D15),D$9/3600*D15,"SLO 不可達")</f>
        <v>0.674484488546133</v>
      </c>
      <c r="E22" s="115" t="n">
        <f aca="false">IF(ISNUMBER(E15),E$9/3600*E15,"SLO 不可達")</f>
        <v>1.1589725319393</v>
      </c>
      <c r="F22" s="115" t="n">
        <f aca="false">IF(ISNUMBER(F15),F$9/3600*F15,"SLO 不可達")</f>
        <v>0.0928765394372742</v>
      </c>
      <c r="G22" s="115" t="n">
        <f aca="false">IF(ISNUMBER(G15),G$9/3600*G15,"SLO 不可達")</f>
        <v>0.118620772097041</v>
      </c>
      <c r="H22" s="115" t="n">
        <f aca="false">IF(ISNUMBER(H15),H$9/3600*H15,"SLO 不可達")</f>
        <v>0.191649346768559</v>
      </c>
      <c r="I22" s="115" t="n">
        <f aca="false">IF(ISNUMBER(I15),I$9/3600*I15,"SLO 不可達")</f>
        <v>0.0817858203143441</v>
      </c>
      <c r="J22" s="115" t="n">
        <f aca="false">IF(ISNUMBER(J15),J$9/3600*J15,"SLO 不可達")</f>
        <v>0.10094260529117</v>
      </c>
      <c r="K22" s="115" t="n">
        <f aca="false">IF(ISNUMBER(K15),K$9/3600*K15,"SLO 不可達")</f>
        <v>0.172236087143762</v>
      </c>
      <c r="L22" s="115" t="n">
        <f aca="false">IF(ISNUMBER(L15),L$9/3600*L15,"SLO 不可達")</f>
        <v>0.0620797136410463</v>
      </c>
      <c r="M22" s="115" t="n">
        <f aca="false">IF(ISNUMBER(M15),M$9/3600*M15,"SLO 不可達")</f>
        <v>0.0762360765157959</v>
      </c>
      <c r="N22" s="115" t="n">
        <f aca="false">IF(ISNUMBER(N15),N$9/3600*N15,"SLO 不可達")</f>
        <v>0.123437108682434</v>
      </c>
      <c r="O22" s="115" t="n">
        <f aca="false">IF(ISNUMBER(O15),O$9/3600*O15,"SLO 不可達")</f>
        <v>0.0486155680772872</v>
      </c>
      <c r="P22" s="115" t="n">
        <f aca="false">IF(ISNUMBER(P15),P$9/3600*P15,"SLO 不可達")</f>
        <v>0.0707794686108994</v>
      </c>
      <c r="Q22" s="115" t="n">
        <f aca="false">IF(ISNUMBER(Q15),Q$9/3600*Q15,"SLO 不可達")</f>
        <v>0.130326482142723</v>
      </c>
    </row>
    <row r="23" customFormat="false" ht="15" hidden="false" customHeight="false" outlineLevel="0" collapsed="false">
      <c r="A23" s="60" t="s">
        <v>865</v>
      </c>
      <c r="B23" s="61" t="s">
        <v>807</v>
      </c>
      <c r="C23" s="94" t="n">
        <f aca="false">IF(ISNUMBER(C18),(Serving!$C$23*C16+Serving!$C$24*C18)/(Serving!$C$23+Serving!$C$24),C18)</f>
        <v>0.106016022472407</v>
      </c>
      <c r="D23" s="94" t="n">
        <f aca="false">IF(ISNUMBER(D18),(Serving!$C$23*D16+Serving!$C$24*D18)/(Serving!$C$23+Serving!$C$24),D18)</f>
        <v>0.151475690122472</v>
      </c>
      <c r="E23" s="94" t="n">
        <f aca="false">IF(ISNUMBER(E18),(Serving!$C$23*E16+Serving!$C$24*E18)/(Serving!$C$23+Serving!$C$24),E18)</f>
        <v>0.260139473759727</v>
      </c>
      <c r="F23" s="94" t="n">
        <f aca="false">IF(ISNUMBER(F18),(Serving!$C$23*F16+Serving!$C$24*F18)/(Serving!$C$23+Serving!$C$24),F18)</f>
        <v>0.0182492146413643</v>
      </c>
      <c r="G23" s="94" t="n">
        <f aca="false">IF(ISNUMBER(G18),(Serving!$C$23*G16+Serving!$C$24*G18)/(Serving!$C$23+Serving!$C$24),G18)</f>
        <v>0.0243665403835278</v>
      </c>
      <c r="H23" s="94" t="n">
        <f aca="false">IF(ISNUMBER(H18),(Serving!$C$23*H16+Serving!$C$24*H18)/(Serving!$C$23+Serving!$C$24),H18)</f>
        <v>0.0395205697040648</v>
      </c>
      <c r="I23" s="94" t="n">
        <f aca="false">IF(ISNUMBER(I18),(Serving!$C$23*I16+Serving!$C$24*I18)/(Serving!$C$23+Serving!$C$24),I18)</f>
        <v>0.015979745734819</v>
      </c>
      <c r="J23" s="94" t="n">
        <f aca="false">IF(ISNUMBER(J18),(Serving!$C$23*J16+Serving!$C$24*J18)/(Serving!$C$23+Serving!$C$24),J18)</f>
        <v>0.0206387663779288</v>
      </c>
      <c r="K23" s="94" t="n">
        <f aca="false">IF(ISNUMBER(K18),(Serving!$C$23*K16+Serving!$C$24*K18)/(Serving!$C$23+Serving!$C$24),K18)</f>
        <v>0.0351385060128271</v>
      </c>
      <c r="L23" s="94" t="n">
        <f aca="false">IF(ISNUMBER(L18),(Serving!$C$23*L16+Serving!$C$24*L18)/(Serving!$C$23+Serving!$C$24),L18)</f>
        <v>0.0123089321678264</v>
      </c>
      <c r="M23" s="94" t="n">
        <f aca="false">IF(ISNUMBER(M18),(Serving!$C$23*M16+Serving!$C$24*M18)/(Serving!$C$23+Serving!$C$24),M18)</f>
        <v>0.0158201510146604</v>
      </c>
      <c r="N23" s="94" t="n">
        <f aca="false">IF(ISNUMBER(N18),(Serving!$C$23*N16+Serving!$C$24*N18)/(Serving!$C$23+Serving!$C$24),N18)</f>
        <v>0.0255579438608251</v>
      </c>
      <c r="O23" s="94" t="n">
        <f aca="false">IF(ISNUMBER(O18),(Serving!$C$23*O16+Serving!$C$24*O18)/(Serving!$C$23+Serving!$C$24),O18)</f>
        <v>0.00967330425899327</v>
      </c>
      <c r="P23" s="94" t="n">
        <f aca="false">IF(ISNUMBER(P18),(Serving!$C$23*P16+Serving!$C$24*P18)/(Serving!$C$23+Serving!$C$24),P18)</f>
        <v>0.0147020961089708</v>
      </c>
      <c r="Q23" s="94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5" t="s">
        <v>263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</row>
    <row r="26" customFormat="false" ht="15" hidden="false" customHeight="false" outlineLevel="0" collapsed="false">
      <c r="A26" s="61" t="s">
        <v>855</v>
      </c>
      <c r="B26" s="61" t="s">
        <v>793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1" t="s">
        <v>856</v>
      </c>
      <c r="B27" s="61" t="s">
        <v>793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1" t="s">
        <v>857</v>
      </c>
      <c r="B28" s="61" t="s">
        <v>793</v>
      </c>
      <c r="C28" s="98" t="n">
        <f aca="false">INDEX(Perf!$C$103:$Q$103,3*(C$6-1)+2)</f>
        <v>7378.44356582218</v>
      </c>
      <c r="D28" s="98" t="n">
        <f aca="false">INDEX(Perf!$C$103:$Q$103,3*(D$6-1)+2)</f>
        <v>7378.44356582218</v>
      </c>
      <c r="E28" s="98" t="n">
        <f aca="false">INDEX(Perf!$C$103:$Q$103,3*(E$6-1)+2)</f>
        <v>7378.44356582218</v>
      </c>
      <c r="F28" s="98" t="n">
        <f aca="false">INDEX(Perf!$C$103:$Q$103,3*(F$6-1)+2)</f>
        <v>1013.60270124925</v>
      </c>
      <c r="G28" s="98" t="n">
        <f aca="false">INDEX(Perf!$C$103:$Q$103,3*(G$6-1)+2)</f>
        <v>1013.60270124925</v>
      </c>
      <c r="H28" s="98" t="n">
        <f aca="false">INDEX(Perf!$C$103:$Q$103,3*(H$6-1)+2)</f>
        <v>1013.60270124925</v>
      </c>
      <c r="I28" s="98" t="n">
        <f aca="false">INDEX(Perf!$C$103:$Q$103,3*(I$6-1)+2)</f>
        <v>675.735134166168</v>
      </c>
      <c r="J28" s="98" t="n">
        <f aca="false">INDEX(Perf!$C$103:$Q$103,3*(J$6-1)+2)</f>
        <v>675.735134166168</v>
      </c>
      <c r="K28" s="98" t="n">
        <f aca="false">INDEX(Perf!$C$103:$Q$103,3*(K$6-1)+2)</f>
        <v>675.735134166168</v>
      </c>
      <c r="L28" s="98" t="n">
        <f aca="false">INDEX(Perf!$C$103:$Q$103,3*(L$6-1)+2)</f>
        <v>247.785926826261</v>
      </c>
      <c r="M28" s="98" t="n">
        <f aca="false">INDEX(Perf!$C$103:$Q$103,3*(M$6-1)+2)</f>
        <v>247.785926826261</v>
      </c>
      <c r="N28" s="98" t="n">
        <f aca="false">INDEX(Perf!$C$103:$Q$103,3*(N$6-1)+2)</f>
        <v>247.785926826261</v>
      </c>
      <c r="O28" s="98" t="n">
        <f aca="false">INDEX(Perf!$C$103:$Q$103,3*(O$6-1)+2)</f>
        <v>118.879183801455</v>
      </c>
      <c r="P28" s="98" t="n">
        <f aca="false">INDEX(Perf!$C$103:$Q$103,3*(P$6-1)+2)</f>
        <v>118.879183801455</v>
      </c>
      <c r="Q28" s="98" t="n">
        <f aca="false">INDEX(Perf!$C$103:$Q$103,3*(Q$6-1)+2)</f>
        <v>118.879183801455</v>
      </c>
    </row>
    <row r="29" customFormat="false" ht="15" hidden="false" customHeight="false" outlineLevel="0" collapsed="false">
      <c r="A29" s="60" t="s">
        <v>858</v>
      </c>
      <c r="B29" s="61" t="s">
        <v>807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0" t="s">
        <v>859</v>
      </c>
      <c r="B30" s="61" t="s">
        <v>807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1" t="s">
        <v>860</v>
      </c>
      <c r="B31" s="61" t="s">
        <v>807</v>
      </c>
      <c r="C31" s="125" t="n">
        <f aca="false">IF(ISNUMBER(C28),C$8/3600*C28,"SLO 不可達")</f>
        <v>2.21280518666324</v>
      </c>
      <c r="D31" s="125" t="n">
        <f aca="false">IF(ISNUMBER(D28),D$8/3600*D28,"SLO 不可達")</f>
        <v>3.16165599255189</v>
      </c>
      <c r="E31" s="125" t="n">
        <f aca="false">IF(ISNUMBER(E28),E$8/3600*E28,"SLO 不可達")</f>
        <v>5.42972621842321</v>
      </c>
      <c r="F31" s="125" t="n">
        <f aca="false">IF(ISNUMBER(F28),F$8/3600*F28,"SLO 不可達")</f>
        <v>0.423524919545995</v>
      </c>
      <c r="G31" s="125" t="n">
        <f aca="false">IF(ISNUMBER(G28),G$8/3600*G28,"SLO 不可達")</f>
        <v>0.565494858729786</v>
      </c>
      <c r="H31" s="125" t="n">
        <f aca="false">IF(ISNUMBER(H28),H$8/3600*H28,"SLO 不可達")</f>
        <v>0.917187201381651</v>
      </c>
      <c r="I31" s="125" t="n">
        <f aca="false">IF(ISNUMBER(I28),I$8/3600*I28,"SLO 不可達")</f>
        <v>0.37085544006724</v>
      </c>
      <c r="J31" s="125" t="n">
        <f aca="false">IF(ISNUMBER(J28),J$8/3600*J28,"SLO 不可達")</f>
        <v>0.478981262565029</v>
      </c>
      <c r="K31" s="125" t="n">
        <f aca="false">IF(ISNUMBER(K28),K$8/3600*K28,"SLO 不可達")</f>
        <v>0.815488952511794</v>
      </c>
      <c r="L31" s="125" t="n">
        <f aca="false">IF(ISNUMBER(L28),L$8/3600*L28,"SLO 不可達")</f>
        <v>0.256178955227036</v>
      </c>
      <c r="M31" s="125" t="n">
        <f aca="false">IF(ISNUMBER(M28),M$8/3600*M28,"SLO 不可達")</f>
        <v>0.329255999075451</v>
      </c>
      <c r="N31" s="125" t="n">
        <f aca="false">IF(ISNUMBER(N28),N$8/3600*N28,"SLO 不可達")</f>
        <v>0.531923262452556</v>
      </c>
      <c r="O31" s="125" t="n">
        <f aca="false">IF(ISNUMBER(O28),O$8/3600*O28,"SLO 不可達")</f>
        <v>0.195537573688745</v>
      </c>
      <c r="P31" s="125" t="n">
        <f aca="false">IF(ISNUMBER(P28),P$8/3600*P28,"SLO 不可達")</f>
        <v>0.297190300678713</v>
      </c>
      <c r="Q31" s="125" t="n">
        <f aca="false">IF(ISNUMBER(Q28),Q$8/3600*Q28,"SLO 不可達")</f>
        <v>0.542533220035429</v>
      </c>
    </row>
    <row r="32" customFormat="false" ht="15" hidden="false" customHeight="false" outlineLevel="0" collapsed="false">
      <c r="A32" s="60" t="s">
        <v>861</v>
      </c>
      <c r="B32" s="61" t="s">
        <v>807</v>
      </c>
      <c r="C32" s="115" t="n">
        <f aca="false">C29/C$10</f>
        <v>0.223707762012654</v>
      </c>
      <c r="D32" s="115" t="n">
        <f aca="false">D29/D$10</f>
        <v>0.319633644484636</v>
      </c>
      <c r="E32" s="115" t="n">
        <f aca="false">E29/E$10</f>
        <v>0.548928531072599</v>
      </c>
      <c r="F32" s="115" t="n">
        <f aca="false">F29/F$10</f>
        <v>0.030825500251475</v>
      </c>
      <c r="G32" s="115" t="n">
        <f aca="false">G29/G$10</f>
        <v>0.0411585271739594</v>
      </c>
      <c r="H32" s="115" t="n">
        <f aca="false">H29/H$10</f>
        <v>0.066755822389736</v>
      </c>
      <c r="I32" s="115" t="n">
        <f aca="false">I29/I$10</f>
        <v>0.0269920468276296</v>
      </c>
      <c r="J32" s="115" t="n">
        <f aca="false">J29/J$10</f>
        <v>0.0348617905304781</v>
      </c>
      <c r="K32" s="115" t="n">
        <f aca="false">K29/K$10</f>
        <v>0.0593538980839057</v>
      </c>
      <c r="L32" s="115" t="n">
        <f aca="false">L29/L$10</f>
        <v>0.0217920302465144</v>
      </c>
      <c r="M32" s="115" t="n">
        <f aca="false">M29/M$10</f>
        <v>0.028008376739376</v>
      </c>
      <c r="N32" s="115" t="n">
        <f aca="false">N29/N$10</f>
        <v>0.0452483999472857</v>
      </c>
      <c r="O32" s="115" t="n">
        <f aca="false">O29/O$10</f>
        <v>0.0173350576867815</v>
      </c>
      <c r="P32" s="115" t="n">
        <f aca="false">P29/P$10</f>
        <v>0.0263469107702954</v>
      </c>
      <c r="Q32" s="115" t="n">
        <f aca="false">Q29/Q$10</f>
        <v>0.0480973783651425</v>
      </c>
    </row>
    <row r="33" customFormat="false" ht="15" hidden="false" customHeight="false" outlineLevel="0" collapsed="false">
      <c r="A33" s="60" t="s">
        <v>862</v>
      </c>
      <c r="B33" s="61" t="s">
        <v>807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</row>
    <row r="34" customFormat="false" ht="15" hidden="false" customHeight="false" outlineLevel="0" collapsed="false">
      <c r="A34" s="61" t="s">
        <v>863</v>
      </c>
      <c r="B34" s="61" t="s">
        <v>807</v>
      </c>
      <c r="C34" s="125" t="n">
        <f aca="false">IF(ISNUMBER(C31),C31/C$10,C31)</f>
        <v>3.68800864443874</v>
      </c>
      <c r="D34" s="125" t="n">
        <f aca="false">IF(ISNUMBER(D31),D31/D$10,D31)</f>
        <v>5.26942665425315</v>
      </c>
      <c r="E34" s="125" t="n">
        <f aca="false">IF(ISNUMBER(E31),E31/E$10,E31)</f>
        <v>9.04954369737201</v>
      </c>
      <c r="F34" s="125" t="n">
        <f aca="false">IF(ISNUMBER(F31),F31/F$10,F31)</f>
        <v>0.705874865909993</v>
      </c>
      <c r="G34" s="125" t="n">
        <f aca="false">IF(ISNUMBER(G31),G31/G$10,G31)</f>
        <v>0.94249143121631</v>
      </c>
      <c r="H34" s="125" t="n">
        <f aca="false">IF(ISNUMBER(H31),H31/H$10,H31)</f>
        <v>1.52864533563608</v>
      </c>
      <c r="I34" s="125" t="n">
        <f aca="false">IF(ISNUMBER(I31),I31/I$10,I31)</f>
        <v>0.618092400112067</v>
      </c>
      <c r="J34" s="125" t="n">
        <f aca="false">IF(ISNUMBER(J31),J31/J$10,J31)</f>
        <v>0.798302104275049</v>
      </c>
      <c r="K34" s="125" t="n">
        <f aca="false">IF(ISNUMBER(K31),K31/K$10,K31)</f>
        <v>1.35914825418632</v>
      </c>
      <c r="L34" s="125" t="n">
        <f aca="false">IF(ISNUMBER(L31),L31/L$10,L31)</f>
        <v>0.426964925378394</v>
      </c>
      <c r="M34" s="125" t="n">
        <f aca="false">IF(ISNUMBER(M31),M31/M$10,M31)</f>
        <v>0.548759998459086</v>
      </c>
      <c r="N34" s="125" t="n">
        <f aca="false">IF(ISNUMBER(N31),N31/N$10,N31)</f>
        <v>0.88653877075426</v>
      </c>
      <c r="O34" s="125" t="n">
        <f aca="false">IF(ISNUMBER(O31),O31/O$10,O31)</f>
        <v>0.325895956147908</v>
      </c>
      <c r="P34" s="125" t="n">
        <f aca="false">IF(ISNUMBER(P31),P31/P$10,P31)</f>
        <v>0.495317167797854</v>
      </c>
      <c r="Q34" s="125" t="n">
        <f aca="false">IF(ISNUMBER(Q31),Q31/Q$10,Q31)</f>
        <v>0.904222033392382</v>
      </c>
    </row>
    <row r="35" customFormat="false" ht="15" hidden="false" customHeight="false" outlineLevel="0" collapsed="false">
      <c r="A35" s="61" t="s">
        <v>864</v>
      </c>
      <c r="B35" s="61" t="s">
        <v>807</v>
      </c>
      <c r="C35" s="115" t="n">
        <f aca="false">IF(ISNUMBER(C28),C$9/3600*C28,"SLO 不可達")</f>
        <v>1.69111191567937</v>
      </c>
      <c r="D35" s="115" t="n">
        <f aca="false">IF(ISNUMBER(D28),D$9/3600*D28,"SLO 不可達")</f>
        <v>2.31480788721727</v>
      </c>
      <c r="E35" s="115" t="n">
        <f aca="false">IF(ISNUMBER(E28),E$9/3600*E28,"SLO 不可達")</f>
        <v>3.9775544190558</v>
      </c>
      <c r="F35" s="115" t="n">
        <f aca="false">IF(ISNUMBER(F28),F$9/3600*F28,"SLO 不可達")</f>
        <v>0.32345052566641</v>
      </c>
      <c r="G35" s="115" t="n">
        <f aca="false">IF(ISNUMBER(G28),G$9/3600*G28,"SLO 不可達")</f>
        <v>0.41310702705128</v>
      </c>
      <c r="H35" s="115" t="n">
        <f aca="false">IF(ISNUMBER(H28),H$9/3600*H28,"SLO 不可達")</f>
        <v>0.667435310698456</v>
      </c>
      <c r="I35" s="115" t="n">
        <f aca="false">IF(ISNUMBER(I28),I$9/3600*I28,"SLO 不可達")</f>
        <v>0.284826143749672</v>
      </c>
      <c r="J35" s="115" t="n">
        <f aca="false">IF(ISNUMBER(J28),J$9/3600*J28,"SLO 不可達")</f>
        <v>0.351541292789194</v>
      </c>
      <c r="K35" s="115" t="n">
        <f aca="false">IF(ISNUMBER(K28),K$9/3600*K28,"SLO 不可達")</f>
        <v>0.599826966669016</v>
      </c>
      <c r="L35" s="115" t="n">
        <f aca="false">IF(ISNUMBER(L28),L$9/3600*L28,"SLO 不可達")</f>
        <v>0.197209692186701</v>
      </c>
      <c r="M35" s="115" t="n">
        <f aca="false">IF(ISNUMBER(M28),M$9/3600*M28,"SLO 不可達")</f>
        <v>0.242180453185295</v>
      </c>
      <c r="N35" s="115" t="n">
        <f aca="false">IF(ISNUMBER(N28),N$9/3600*N28,"SLO 不可達")</f>
        <v>0.392124782476187</v>
      </c>
      <c r="O35" s="115" t="n">
        <f aca="false">IF(ISNUMBER(O28),O$9/3600*O28,"SLO 不可達")</f>
        <v>0.150686185408772</v>
      </c>
      <c r="P35" s="115" t="n">
        <f aca="false">IF(ISNUMBER(P28),P$9/3600*P28,"SLO 不可達")</f>
        <v>0.21938421275425</v>
      </c>
      <c r="Q35" s="115" t="n">
        <f aca="false">IF(ISNUMBER(Q28),Q$9/3600*Q28,"SLO 不可達")</f>
        <v>0.403952915259799</v>
      </c>
    </row>
    <row r="36" customFormat="false" ht="15" hidden="false" customHeight="false" outlineLevel="0" collapsed="false">
      <c r="A36" s="60" t="s">
        <v>865</v>
      </c>
      <c r="B36" s="61" t="s">
        <v>807</v>
      </c>
      <c r="C36" s="94" t="n">
        <f aca="false">IF(ISNUMBER(C31),(Serving!$D$23*C29+Serving!$D$24*C31)/(Serving!$D$23+Serving!$D$24),C31)</f>
        <v>0.365178049369331</v>
      </c>
      <c r="D36" s="94" t="n">
        <f aca="false">IF(ISNUMBER(D31),(Serving!$D$23*D29+Serving!$D$24*D31)/(Serving!$D$23+Serving!$D$24),D31)</f>
        <v>0.521766387342016</v>
      </c>
      <c r="E36" s="94" t="n">
        <f aca="false">IF(ISNUMBER(E31),(Serving!$D$23*E29+Serving!$D$24*E31)/(Serving!$D$23+Serving!$D$24),E31)</f>
        <v>0.896064796396854</v>
      </c>
      <c r="F36" s="94" t="n">
        <f aca="false">IF(ISNUMBER(F31),(Serving!$D$23*F29+Serving!$D$24*F31)/(Serving!$D$23+Serving!$D$24),F31)</f>
        <v>0.0634985911947861</v>
      </c>
      <c r="G36" s="94" t="n">
        <f aca="false">IF(ISNUMBER(G31),(Serving!$D$23*G29+Serving!$D$24*G31)/(Serving!$D$23+Serving!$D$24),G31)</f>
        <v>0.0847839765738656</v>
      </c>
      <c r="H36" s="94" t="n">
        <f aca="false">IF(ISNUMBER(H31),(Serving!$D$23*H29+Serving!$D$24*H31)/(Serving!$D$23+Serving!$D$24),H31)</f>
        <v>0.137512794316931</v>
      </c>
      <c r="I36" s="94" t="n">
        <f aca="false">IF(ISNUMBER(I31),(Serving!$D$23*I29+Serving!$D$24*I31)/(Serving!$D$23+Serving!$D$24),I31)</f>
        <v>0.0556019183155402</v>
      </c>
      <c r="J36" s="94" t="n">
        <f aca="false">IF(ISNUMBER(J31),(Serving!$D$23*J29+Serving!$D$24*J31)/(Serving!$D$23+Serving!$D$24),J31)</f>
        <v>0.0718130952345916</v>
      </c>
      <c r="K36" s="94" t="n">
        <f aca="false">IF(ISNUMBER(K31),(Serving!$D$23*K29+Serving!$D$24*K31)/(Serving!$D$23+Serving!$D$24),K31)</f>
        <v>0.122265295923838</v>
      </c>
      <c r="L36" s="94" t="n">
        <f aca="false">IF(ISNUMBER(L31),(Serving!$D$23*L29+Serving!$D$24*L31)/(Serving!$D$23+Serving!$D$24),L31)</f>
        <v>0.0400867444900339</v>
      </c>
      <c r="M36" s="94" t="n">
        <f aca="false">IF(ISNUMBER(M31),(Serving!$D$23*M29+Serving!$D$24*M31)/(Serving!$D$23+Serving!$D$24),M31)</f>
        <v>0.0515218008249395</v>
      </c>
      <c r="N36" s="94" t="n">
        <f aca="false">IF(ISNUMBER(N31),(Serving!$D$23*N29+Serving!$D$24*N31)/(Serving!$D$23+Serving!$D$24),N31)</f>
        <v>0.0832350646888363</v>
      </c>
      <c r="O36" s="94" t="n">
        <f aca="false">IF(ISNUMBER(O31),(Serving!$D$23*O29+Serving!$D$24*O31)/(Serving!$D$23+Serving!$D$24),O31)</f>
        <v>0.030971761176144</v>
      </c>
      <c r="P36" s="94" t="n">
        <f aca="false">IF(ISNUMBER(P31),(Serving!$D$23*P29+Serving!$D$24*P31)/(Serving!$D$23+Serving!$D$24),P31)</f>
        <v>0.0470728302640145</v>
      </c>
      <c r="Q36" s="94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5" t="s">
        <v>264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customFormat="false" ht="15" hidden="false" customHeight="false" outlineLevel="0" collapsed="false">
      <c r="A39" s="61" t="s">
        <v>855</v>
      </c>
      <c r="B39" s="61" t="s">
        <v>793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1" t="s">
        <v>856</v>
      </c>
      <c r="B40" s="61" t="s">
        <v>793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1" t="s">
        <v>857</v>
      </c>
      <c r="B41" s="61" t="s">
        <v>793</v>
      </c>
      <c r="C41" s="98" t="str">
        <f aca="false">INDEX(Perf!$C$103:$Q$103,3*(C$6-1)+3)</f>
        <v>TTFT 不可達</v>
      </c>
      <c r="D41" s="98" t="str">
        <f aca="false">INDEX(Perf!$C$103:$Q$103,3*(D$6-1)+3)</f>
        <v>TTFT 不可達</v>
      </c>
      <c r="E41" s="98" t="str">
        <f aca="false">INDEX(Perf!$C$103:$Q$103,3*(E$6-1)+3)</f>
        <v>TTFT 不可達</v>
      </c>
      <c r="F41" s="98" t="n">
        <f aca="false">INDEX(Perf!$C$103:$Q$103,3*(F$6-1)+3)</f>
        <v>5931.07676520949</v>
      </c>
      <c r="G41" s="98" t="n">
        <f aca="false">INDEX(Perf!$C$103:$Q$103,3*(G$6-1)+3)</f>
        <v>5931.07676520949</v>
      </c>
      <c r="H41" s="98" t="n">
        <f aca="false">INDEX(Perf!$C$103:$Q$103,3*(H$6-1)+3)</f>
        <v>5931.07676520949</v>
      </c>
      <c r="I41" s="98" t="n">
        <f aca="false">INDEX(Perf!$C$103:$Q$103,3*(I$6-1)+3)</f>
        <v>4920.52361227776</v>
      </c>
      <c r="J41" s="98" t="n">
        <f aca="false">INDEX(Perf!$C$103:$Q$103,3*(J$6-1)+3)</f>
        <v>4920.52361227776</v>
      </c>
      <c r="K41" s="98" t="n">
        <f aca="false">INDEX(Perf!$C$103:$Q$103,3*(K$6-1)+3)</f>
        <v>4920.52361227776</v>
      </c>
      <c r="L41" s="98" t="n">
        <f aca="false">INDEX(Perf!$C$103:$Q$103,3*(L$6-1)+3)</f>
        <v>1282.63712409266</v>
      </c>
      <c r="M41" s="98" t="n">
        <f aca="false">INDEX(Perf!$C$103:$Q$103,3*(M$6-1)+3)</f>
        <v>1282.63712409266</v>
      </c>
      <c r="N41" s="98" t="n">
        <f aca="false">INDEX(Perf!$C$103:$Q$103,3*(N$6-1)+3)</f>
        <v>1282.63712409266</v>
      </c>
      <c r="O41" s="98" t="n">
        <f aca="false">INDEX(Perf!$C$103:$Q$103,3*(O$6-1)+3)</f>
        <v>575.147245462511</v>
      </c>
      <c r="P41" s="98" t="n">
        <f aca="false">INDEX(Perf!$C$103:$Q$103,3*(P$6-1)+3)</f>
        <v>575.147245462511</v>
      </c>
      <c r="Q41" s="98" t="n">
        <f aca="false">INDEX(Perf!$C$103:$Q$103,3*(Q$6-1)+3)</f>
        <v>575.147245462511</v>
      </c>
    </row>
    <row r="42" customFormat="false" ht="15" hidden="false" customHeight="false" outlineLevel="0" collapsed="false">
      <c r="A42" s="60" t="s">
        <v>858</v>
      </c>
      <c r="B42" s="61" t="s">
        <v>807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0" t="s">
        <v>859</v>
      </c>
      <c r="B43" s="61" t="s">
        <v>807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1" t="s">
        <v>860</v>
      </c>
      <c r="B44" s="61" t="s">
        <v>807</v>
      </c>
      <c r="C44" s="125" t="str">
        <f aca="false">IF(ISNUMBER(C41),C$8/3600*C41,"SLO 不可達")</f>
        <v>SLO 不可達</v>
      </c>
      <c r="D44" s="125" t="str">
        <f aca="false">IF(ISNUMBER(D41),D$8/3600*D41,"SLO 不可達")</f>
        <v>SLO 不可達</v>
      </c>
      <c r="E44" s="125" t="str">
        <f aca="false">IF(ISNUMBER(E41),E$8/3600*E41,"SLO 不可達")</f>
        <v>SLO 不可達</v>
      </c>
      <c r="F44" s="125" t="n">
        <f aca="false">IF(ISNUMBER(F41),F$8/3600*F41,"SLO 不可達")</f>
        <v>2.47824794341068</v>
      </c>
      <c r="G44" s="125" t="n">
        <f aca="false">IF(ISNUMBER(G41),G$8/3600*G41,"SLO 不可達")</f>
        <v>3.30898231952609</v>
      </c>
      <c r="H44" s="125" t="n">
        <f aca="false">IF(ISNUMBER(H41),H$8/3600*H41,"SLO 不可達")</f>
        <v>5.36690331700735</v>
      </c>
      <c r="I44" s="125" t="n">
        <f aca="false">IF(ISNUMBER(I41),I$8/3600*I41,"SLO 不可達")</f>
        <v>2.70047072784554</v>
      </c>
      <c r="J44" s="125" t="n">
        <f aca="false">IF(ISNUMBER(J41),J$8/3600*J41,"SLO 不可達")</f>
        <v>3.48781422353906</v>
      </c>
      <c r="K44" s="125" t="n">
        <f aca="false">IF(ISNUMBER(K41),K$8/3600*K41,"SLO 不可達")</f>
        <v>5.93817376587556</v>
      </c>
      <c r="L44" s="125" t="n">
        <f aca="false">IF(ISNUMBER(L41),L$8/3600*L41,"SLO 不可達")</f>
        <v>1.32608273033948</v>
      </c>
      <c r="M44" s="125" t="n">
        <f aca="false">IF(ISNUMBER(M41),M$8/3600*M41,"SLO 不可達")</f>
        <v>1.70435816575049</v>
      </c>
      <c r="N44" s="125" t="n">
        <f aca="false">IF(ISNUMBER(N41),N$8/3600*N41,"SLO 不可達")</f>
        <v>2.7534433949855</v>
      </c>
      <c r="O44" s="125" t="n">
        <f aca="false">IF(ISNUMBER(O41),O$8/3600*O41,"SLO 不可達")</f>
        <v>0.946026825683234</v>
      </c>
      <c r="P44" s="125" t="n">
        <f aca="false">IF(ISNUMBER(P41),P$8/3600*P41,"SLO 不可達")</f>
        <v>1.43783105963287</v>
      </c>
      <c r="Q44" s="125" t="n">
        <f aca="false">IF(ISNUMBER(Q41),Q$8/3600*Q41,"SLO 不可達")</f>
        <v>2.62482023426766</v>
      </c>
    </row>
    <row r="45" customFormat="false" ht="15" hidden="false" customHeight="false" outlineLevel="0" collapsed="false">
      <c r="A45" s="60" t="s">
        <v>861</v>
      </c>
      <c r="B45" s="61" t="s">
        <v>807</v>
      </c>
      <c r="C45" s="115" t="n">
        <f aca="false">C42/C$10</f>
        <v>0.742139831002308</v>
      </c>
      <c r="D45" s="115" t="n">
        <f aca="false">D42/D$10</f>
        <v>1.06036937103265</v>
      </c>
      <c r="E45" s="115" t="n">
        <f aca="false">E42/E$10</f>
        <v>1.82104422134231</v>
      </c>
      <c r="F45" s="115" t="n">
        <f aca="false">F42/F$10</f>
        <v>0.10226212689883</v>
      </c>
      <c r="G45" s="115" t="n">
        <f aca="false">G42/G$10</f>
        <v>0.136541450892787</v>
      </c>
      <c r="H45" s="115" t="n">
        <f aca="false">H42/H$10</f>
        <v>0.221459256938686</v>
      </c>
      <c r="I45" s="115" t="n">
        <f aca="false">I42/I$10</f>
        <v>0.089544827997208</v>
      </c>
      <c r="J45" s="115" t="n">
        <f aca="false">J42/J$10</f>
        <v>0.115652327393376</v>
      </c>
      <c r="K45" s="115" t="n">
        <f aca="false">K42/K$10</f>
        <v>0.196903726080038</v>
      </c>
      <c r="L45" s="115" t="n">
        <f aca="false">L42/L$10</f>
        <v>0.072294020997942</v>
      </c>
      <c r="M45" s="115" t="n">
        <f aca="false">M42/M$10</f>
        <v>0.0929164540067846</v>
      </c>
      <c r="N45" s="115" t="n">
        <f aca="false">N42/N$10</f>
        <v>0.150109408756697</v>
      </c>
      <c r="O45" s="115" t="n">
        <f aca="false">O42/O$10</f>
        <v>0.0575082271010141</v>
      </c>
      <c r="P45" s="115" t="n">
        <f aca="false">P42/P$10</f>
        <v>0.0874046198959961</v>
      </c>
      <c r="Q45" s="115" t="n">
        <f aca="false">Q42/Q$10</f>
        <v>0.159560758779313</v>
      </c>
    </row>
    <row r="46" customFormat="false" ht="15" hidden="false" customHeight="false" outlineLevel="0" collapsed="false">
      <c r="A46" s="60" t="s">
        <v>862</v>
      </c>
      <c r="B46" s="61" t="s">
        <v>807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</row>
    <row r="47" customFormat="false" ht="15" hidden="false" customHeight="false" outlineLevel="0" collapsed="false">
      <c r="A47" s="61" t="s">
        <v>863</v>
      </c>
      <c r="B47" s="61" t="s">
        <v>807</v>
      </c>
      <c r="C47" s="125" t="str">
        <f aca="false">IF(ISNUMBER(C44),C44/C$10,C44)</f>
        <v>SLO 不可達</v>
      </c>
      <c r="D47" s="125" t="str">
        <f aca="false">IF(ISNUMBER(D44),D44/D$10,D44)</f>
        <v>SLO 不可達</v>
      </c>
      <c r="E47" s="125" t="str">
        <f aca="false">IF(ISNUMBER(E44),E44/E$10,E44)</f>
        <v>SLO 不可達</v>
      </c>
      <c r="F47" s="125" t="n">
        <f aca="false">IF(ISNUMBER(F44),F44/F$10,F44)</f>
        <v>4.13041323901781</v>
      </c>
      <c r="G47" s="125" t="n">
        <f aca="false">IF(ISNUMBER(G44),G44/G$10,G44)</f>
        <v>5.51497053254348</v>
      </c>
      <c r="H47" s="125" t="n">
        <f aca="false">IF(ISNUMBER(H44),H44/H$10,H44)</f>
        <v>8.94483886167893</v>
      </c>
      <c r="I47" s="125" t="n">
        <f aca="false">IF(ISNUMBER(I44),I44/I$10,I44)</f>
        <v>4.50078454640923</v>
      </c>
      <c r="J47" s="125" t="n">
        <f aca="false">IF(ISNUMBER(J44),J44/J$10,J44)</f>
        <v>5.81302370589844</v>
      </c>
      <c r="K47" s="125" t="n">
        <f aca="false">IF(ISNUMBER(K44),K44/K$10,K44)</f>
        <v>9.89695627645926</v>
      </c>
      <c r="L47" s="125" t="n">
        <f aca="false">IF(ISNUMBER(L44),L44/L$10,L44)</f>
        <v>2.21013788389914</v>
      </c>
      <c r="M47" s="125" t="n">
        <f aca="false">IF(ISNUMBER(M44),M44/M$10,M44)</f>
        <v>2.84059694291748</v>
      </c>
      <c r="N47" s="125" t="n">
        <f aca="false">IF(ISNUMBER(N44),N44/N$10,N44)</f>
        <v>4.58907232497584</v>
      </c>
      <c r="O47" s="125" t="n">
        <f aca="false">IF(ISNUMBER(O44),O44/O$10,O44)</f>
        <v>1.57671137613872</v>
      </c>
      <c r="P47" s="125" t="n">
        <f aca="false">IF(ISNUMBER(P44),P44/P$10,P44)</f>
        <v>2.39638509938812</v>
      </c>
      <c r="Q47" s="125" t="n">
        <f aca="false">IF(ISNUMBER(Q44),Q44/Q$10,Q44)</f>
        <v>4.3747003904461</v>
      </c>
    </row>
    <row r="48" customFormat="false" ht="15" hidden="false" customHeight="false" outlineLevel="0" collapsed="false">
      <c r="A48" s="61" t="s">
        <v>864</v>
      </c>
      <c r="B48" s="61" t="s">
        <v>807</v>
      </c>
      <c r="C48" s="115" t="str">
        <f aca="false">IF(ISNUMBER(C41),C$9/3600*C41,"SLO 不可達")</f>
        <v>SLO 不可達</v>
      </c>
      <c r="D48" s="115" t="str">
        <f aca="false">IF(ISNUMBER(D41),D$9/3600*D41,"SLO 不可達")</f>
        <v>SLO 不可達</v>
      </c>
      <c r="E48" s="115" t="str">
        <f aca="false">IF(ISNUMBER(E41),E$9/3600*E41,"SLO 不可達")</f>
        <v>SLO 不可達</v>
      </c>
      <c r="F48" s="115" t="n">
        <f aca="false">IF(ISNUMBER(F41),F$9/3600*F41,"SLO 不可達")</f>
        <v>1.89266454707592</v>
      </c>
      <c r="G48" s="115" t="n">
        <f aca="false">IF(ISNUMBER(G41),G$9/3600*G41,"SLO 不可達")</f>
        <v>2.41728784529561</v>
      </c>
      <c r="H48" s="115" t="n">
        <f aca="false">IF(ISNUMBER(H41),H$9/3600*H41,"SLO 不可達")</f>
        <v>3.90548491897767</v>
      </c>
      <c r="I48" s="115" t="n">
        <f aca="false">IF(ISNUMBER(I41),I$9/3600*I41,"SLO 不可達")</f>
        <v>2.0740282617444</v>
      </c>
      <c r="J48" s="115" t="n">
        <f aca="false">IF(ISNUMBER(J41),J$9/3600*J41,"SLO 不可達")</f>
        <v>2.55983024176232</v>
      </c>
      <c r="K48" s="115" t="n">
        <f aca="false">IF(ISNUMBER(K41),K$9/3600*K41,"SLO 不可達")</f>
        <v>4.36778051568657</v>
      </c>
      <c r="L48" s="115" t="n">
        <f aca="false">IF(ISNUMBER(L41),L$9/3600*L41,"SLO 不可達")</f>
        <v>1.02083470062005</v>
      </c>
      <c r="M48" s="115" t="n">
        <f aca="false">IF(ISNUMBER(M41),M$9/3600*M41,"SLO 不可達")</f>
        <v>1.25362099439508</v>
      </c>
      <c r="N48" s="115" t="n">
        <f aca="false">IF(ISNUMBER(N41),N$9/3600*N41,"SLO 不可達")</f>
        <v>2.02979164201432</v>
      </c>
      <c r="O48" s="115" t="n">
        <f aca="false">IF(ISNUMBER(O41),O$9/3600*O41,"SLO 不可達")</f>
        <v>0.729032129055107</v>
      </c>
      <c r="P48" s="115" t="n">
        <f aca="false">IF(ISNUMBER(P41),P$9/3600*P41,"SLO 不可達")</f>
        <v>1.06139882213781</v>
      </c>
      <c r="Q48" s="115" t="n">
        <f aca="false">IF(ISNUMBER(Q41),Q$9/3600*Q41,"SLO 不可達")</f>
        <v>1.95435734902295</v>
      </c>
    </row>
    <row r="49" customFormat="false" ht="15" hidden="false" customHeight="false" outlineLevel="0" collapsed="false">
      <c r="A49" s="60" t="s">
        <v>865</v>
      </c>
      <c r="B49" s="61" t="s">
        <v>807</v>
      </c>
      <c r="C49" s="94" t="str">
        <f aca="false">IF(ISNUMBER(C44),(Serving!$E$23*C42+Serving!$E$24*C44)/(Serving!$E$23+Serving!$E$24),C44)</f>
        <v>SLO 不可達</v>
      </c>
      <c r="D49" s="94" t="str">
        <f aca="false">IF(ISNUMBER(D44),(Serving!$E$23*D42+Serving!$E$24*D44)/(Serving!$E$23+Serving!$E$24),D44)</f>
        <v>SLO 不可達</v>
      </c>
      <c r="E49" s="94" t="str">
        <f aca="false">IF(ISNUMBER(E44),(Serving!$E$23*E42+Serving!$E$24*E44)/(Serving!$E$23+Serving!$E$24),E44)</f>
        <v>SLO 不可達</v>
      </c>
      <c r="F49" s="94" t="n">
        <f aca="false">IF(ISNUMBER(F44),(Serving!$E$23*F42+Serving!$E$24*F44)/(Serving!$E$23+Serving!$E$24),F44)</f>
        <v>0.329900683613896</v>
      </c>
      <c r="G49" s="94" t="n">
        <f aca="false">IF(ISNUMBER(G44),(Serving!$E$23*G42+Serving!$E$24*G44)/(Serving!$E$23+Serving!$E$24),G44)</f>
        <v>0.440486809312385</v>
      </c>
      <c r="H49" s="94" t="n">
        <f aca="false">IF(ISNUMBER(H44),(Serving!$E$23*H42+Serving!$E$24*H44)/(Serving!$E$23+Serving!$E$24),H44)</f>
        <v>0.714434194479228</v>
      </c>
      <c r="I49" s="94" t="n">
        <f aca="false">IF(ISNUMBER(I44),(Serving!$E$23*I42+Serving!$E$24*I44)/(Serving!$E$23+Serving!$E$24),I44)</f>
        <v>0.34780954469246</v>
      </c>
      <c r="J49" s="94" t="n">
        <f aca="false">IF(ISNUMBER(J44),(Serving!$E$23*J42+Serving!$E$24*J44)/(Serving!$E$23+Serving!$E$24),J44)</f>
        <v>0.44921615500303</v>
      </c>
      <c r="K49" s="94" t="n">
        <f aca="false">IF(ISNUMBER(K44),(Serving!$E$23*K42+Serving!$E$24*K44)/(Serving!$E$23+Serving!$E$24),K44)</f>
        <v>0.764812405673305</v>
      </c>
      <c r="L49" s="94" t="n">
        <f aca="false">IF(ISNUMBER(L44),(Serving!$E$23*L42+Serving!$E$24*L44)/(Serving!$E$23+Serving!$E$24),L44)</f>
        <v>0.185899336792178</v>
      </c>
      <c r="M49" s="94" t="n">
        <f aca="false">IF(ISNUMBER(M44),(Serving!$E$23*M42+Serving!$E$24*M44)/(Serving!$E$23+Serving!$E$24),M44)</f>
        <v>0.238928571664784</v>
      </c>
      <c r="N49" s="94" t="n">
        <f aca="false">IF(ISNUMBER(N44),(Serving!$E$23*N42+Serving!$E$24*N44)/(Serving!$E$23+Serving!$E$24),N44)</f>
        <v>0.385996506335294</v>
      </c>
      <c r="O49" s="94" t="n">
        <f aca="false">IF(ISNUMBER(O44),(Serving!$E$23*O42+Serving!$E$24*O44)/(Serving!$E$23+Serving!$E$24),O44)</f>
        <v>0.135785146196456</v>
      </c>
      <c r="P49" s="94" t="n">
        <f aca="false">IF(ISNUMBER(P44),(Serving!$E$23*P42+Serving!$E$24*P44)/(Serving!$E$23+Serving!$E$24),P44)</f>
        <v>0.206374803903739</v>
      </c>
      <c r="Q49" s="94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866</v>
      </c>
    </row>
    <row r="2" customFormat="false" ht="15" hidden="false" customHeight="true" outlineLevel="0" collapsed="false">
      <c r="A2" s="11" t="s">
        <v>867</v>
      </c>
    </row>
    <row r="4" customFormat="false" ht="15" hidden="false" customHeight="true" outlineLevel="0" collapsed="false">
      <c r="A4" s="20" t="s">
        <v>171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84</v>
      </c>
      <c r="D5" s="34" t="s">
        <v>85</v>
      </c>
      <c r="E5" s="34" t="s">
        <v>86</v>
      </c>
      <c r="F5" s="34" t="s">
        <v>84</v>
      </c>
      <c r="G5" s="34" t="s">
        <v>85</v>
      </c>
      <c r="H5" s="34" t="s">
        <v>86</v>
      </c>
      <c r="I5" s="34" t="s">
        <v>84</v>
      </c>
      <c r="J5" s="34" t="s">
        <v>85</v>
      </c>
      <c r="K5" s="34" t="s">
        <v>86</v>
      </c>
      <c r="L5" s="34" t="s">
        <v>84</v>
      </c>
      <c r="M5" s="34" t="s">
        <v>85</v>
      </c>
      <c r="N5" s="34" t="s">
        <v>86</v>
      </c>
      <c r="O5" s="34" t="s">
        <v>84</v>
      </c>
      <c r="P5" s="34" t="s">
        <v>85</v>
      </c>
      <c r="Q5" s="34" t="s">
        <v>86</v>
      </c>
    </row>
    <row r="7" customFormat="false" ht="15" hidden="false" customHeight="true" outlineLevel="0" collapsed="false">
      <c r="A7" s="25" t="s">
        <v>868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869</v>
      </c>
      <c r="B8" s="16" t="s">
        <v>870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98</v>
      </c>
      <c r="B9" s="16" t="s">
        <v>99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871</v>
      </c>
      <c r="B10" s="16" t="s">
        <v>870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742</v>
      </c>
      <c r="B11" s="16" t="s">
        <v>743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872</v>
      </c>
      <c r="B12" s="21" t="s">
        <v>741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5" t="s">
        <v>184</v>
      </c>
      <c r="B13" s="21" t="s">
        <v>735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9" t="s">
        <v>873</v>
      </c>
      <c r="B14" s="21" t="s">
        <v>735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102</v>
      </c>
      <c r="B15" s="16" t="s">
        <v>103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0" t="s">
        <v>874</v>
      </c>
      <c r="B16" s="16" t="s">
        <v>870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875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876</v>
      </c>
      <c r="B18" s="16" t="s">
        <v>877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878</v>
      </c>
      <c r="B19" s="16" t="s">
        <v>879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5" t="s">
        <v>113</v>
      </c>
      <c r="B20" s="16" t="s">
        <v>99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880</v>
      </c>
      <c r="B21" s="16" t="s">
        <v>879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0" t="s">
        <v>881</v>
      </c>
      <c r="B22" s="16" t="s">
        <v>116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881</v>
      </c>
      <c r="B23" s="16" t="s">
        <v>879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5" t="s">
        <v>882</v>
      </c>
      <c r="B24" s="16" t="s">
        <v>879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0" t="s">
        <v>119</v>
      </c>
      <c r="B25" s="16" t="s">
        <v>879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0" t="s">
        <v>883</v>
      </c>
      <c r="B26" s="16" t="s">
        <v>879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0" t="s">
        <v>884</v>
      </c>
      <c r="B27" s="16" t="s">
        <v>879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0" t="s">
        <v>885</v>
      </c>
      <c r="B28" s="16" t="s">
        <v>879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0" t="s">
        <v>886</v>
      </c>
      <c r="B29" s="16" t="s">
        <v>879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0" t="s">
        <v>887</v>
      </c>
      <c r="B30" s="16" t="s">
        <v>99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129</v>
      </c>
      <c r="B31" s="16" t="s">
        <v>879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0" t="s">
        <v>888</v>
      </c>
      <c r="B32" s="16" t="s">
        <v>879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0" t="s">
        <v>889</v>
      </c>
      <c r="B33" s="16" t="s">
        <v>879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0" t="s">
        <v>890</v>
      </c>
      <c r="B34" s="16" t="s">
        <v>891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892</v>
      </c>
      <c r="B35" s="16" t="s">
        <v>877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893</v>
      </c>
      <c r="B36" s="16" t="s">
        <v>877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</row>
    <row r="37" customFormat="false" ht="15" hidden="false" customHeight="true" outlineLevel="0" collapsed="false">
      <c r="A37" s="25" t="s">
        <v>894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895</v>
      </c>
      <c r="B38" s="21" t="s">
        <v>134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5" t="s">
        <v>896</v>
      </c>
      <c r="B39" s="16" t="s">
        <v>879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0" t="s">
        <v>897</v>
      </c>
      <c r="B40" s="16" t="s">
        <v>879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106</v>
      </c>
      <c r="B41" s="16" t="s">
        <v>99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108</v>
      </c>
      <c r="B42" s="16" t="s">
        <v>109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0" t="s">
        <v>898</v>
      </c>
      <c r="B43" s="16" t="s">
        <v>879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5" t="s">
        <v>899</v>
      </c>
      <c r="B44" s="16" t="s">
        <v>879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0" t="s">
        <v>149</v>
      </c>
      <c r="B45" s="16" t="s">
        <v>879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0" t="s">
        <v>900</v>
      </c>
      <c r="B46" s="16" t="s">
        <v>879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160</v>
      </c>
      <c r="B47" s="16" t="s">
        <v>879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0" t="s">
        <v>901</v>
      </c>
      <c r="B48" s="16" t="s">
        <v>879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0" t="s">
        <v>902</v>
      </c>
      <c r="B49" s="16" t="s">
        <v>879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5" t="s">
        <v>903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904</v>
      </c>
      <c r="B51" s="16" t="s">
        <v>99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905</v>
      </c>
      <c r="B52" s="16" t="s">
        <v>103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5" t="s">
        <v>906</v>
      </c>
      <c r="B53" s="16" t="s">
        <v>879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0" t="s">
        <v>907</v>
      </c>
      <c r="B54" s="16" t="s">
        <v>879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908</v>
      </c>
      <c r="B55" s="16" t="s">
        <v>879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5" t="s">
        <v>909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910</v>
      </c>
      <c r="B57" s="16" t="s">
        <v>852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0" t="s">
        <v>911</v>
      </c>
      <c r="B58" s="16" t="s">
        <v>852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0" t="s">
        <v>912</v>
      </c>
      <c r="B59" s="16" t="s">
        <v>913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914</v>
      </c>
      <c r="B60" s="16" t="s">
        <v>915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</row>
    <row r="61" customFormat="false" ht="15" hidden="false" customHeight="true" outlineLevel="0" collapsed="false">
      <c r="A61" s="20" t="s">
        <v>916</v>
      </c>
      <c r="B61" s="16" t="s">
        <v>99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917</v>
      </c>
      <c r="B62" s="16" t="s">
        <v>99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7" t="s">
        <v>918</v>
      </c>
    </row>
    <row r="2" customFormat="false" ht="15" hidden="false" customHeight="false" outlineLevel="0" collapsed="false">
      <c r="A2" s="58" t="s">
        <v>919</v>
      </c>
    </row>
    <row r="4" customFormat="false" ht="15" hidden="false" customHeight="false" outlineLevel="0" collapsed="false">
      <c r="A4" s="59" t="s">
        <v>336</v>
      </c>
      <c r="B4" s="59" t="s">
        <v>83</v>
      </c>
      <c r="C4" s="59" t="s">
        <v>337</v>
      </c>
      <c r="D4" s="59" t="s">
        <v>87</v>
      </c>
      <c r="H4" s="59" t="s">
        <v>338</v>
      </c>
    </row>
    <row r="5" customFormat="false" ht="15" hidden="false" customHeight="false" outlineLevel="0" collapsed="false">
      <c r="A5" s="60" t="s">
        <v>920</v>
      </c>
      <c r="B5" s="60"/>
      <c r="C5" s="136" t="s">
        <v>921</v>
      </c>
      <c r="D5" s="58" t="s">
        <v>92</v>
      </c>
      <c r="H5" s="87" t="s">
        <v>922</v>
      </c>
    </row>
    <row r="6" customFormat="false" ht="26.85" hidden="false" customHeight="false" outlineLevel="0" collapsed="false">
      <c r="A6" s="60" t="s">
        <v>923</v>
      </c>
      <c r="B6" s="61" t="s">
        <v>99</v>
      </c>
      <c r="C6" s="65" t="n">
        <v>0.25</v>
      </c>
      <c r="D6" s="58" t="s">
        <v>104</v>
      </c>
      <c r="H6" s="87" t="s">
        <v>924</v>
      </c>
    </row>
    <row r="7" customFormat="false" ht="15" hidden="false" customHeight="false" outlineLevel="0" collapsed="false">
      <c r="A7" s="61" t="s">
        <v>925</v>
      </c>
      <c r="B7" s="61" t="s">
        <v>99</v>
      </c>
      <c r="C7" s="65" t="n">
        <v>0.9</v>
      </c>
      <c r="D7" s="58" t="s">
        <v>104</v>
      </c>
      <c r="H7" s="87" t="s">
        <v>926</v>
      </c>
    </row>
    <row r="8" customFormat="false" ht="15" hidden="false" customHeight="false" outlineLevel="0" collapsed="false">
      <c r="A8" s="61" t="s">
        <v>927</v>
      </c>
      <c r="B8" s="61" t="s">
        <v>103</v>
      </c>
      <c r="C8" s="78" t="n">
        <v>0.8</v>
      </c>
      <c r="D8" s="58" t="s">
        <v>100</v>
      </c>
      <c r="H8" s="93" t="s">
        <v>928</v>
      </c>
    </row>
    <row r="9" customFormat="false" ht="15" hidden="false" customHeight="false" outlineLevel="0" collapsed="false">
      <c r="A9" s="61" t="s">
        <v>929</v>
      </c>
      <c r="B9" s="61" t="s">
        <v>103</v>
      </c>
      <c r="C9" s="78" t="n">
        <v>0.6</v>
      </c>
      <c r="D9" s="58" t="s">
        <v>100</v>
      </c>
      <c r="H9" s="93" t="s">
        <v>930</v>
      </c>
    </row>
    <row r="10" customFormat="false" ht="15" hidden="false" customHeight="false" outlineLevel="0" collapsed="false">
      <c r="A10" s="60" t="s">
        <v>931</v>
      </c>
      <c r="B10" s="60" t="s">
        <v>95</v>
      </c>
      <c r="C10" s="66" t="n">
        <v>0</v>
      </c>
      <c r="D10" s="58" t="s">
        <v>100</v>
      </c>
      <c r="H10" s="87" t="s">
        <v>932</v>
      </c>
    </row>
    <row r="11" customFormat="false" ht="26.85" hidden="false" customHeight="false" outlineLevel="0" collapsed="false">
      <c r="A11" s="61" t="s">
        <v>933</v>
      </c>
      <c r="B11" s="61" t="s">
        <v>99</v>
      </c>
      <c r="C11" s="65" t="n">
        <v>0.85</v>
      </c>
      <c r="D11" s="58" t="s">
        <v>104</v>
      </c>
      <c r="H11" s="87" t="s">
        <v>934</v>
      </c>
    </row>
    <row r="12" customFormat="false" ht="15" hidden="false" customHeight="false" outlineLevel="0" collapsed="false">
      <c r="A12" s="61" t="s">
        <v>935</v>
      </c>
      <c r="B12" s="60" t="s">
        <v>329</v>
      </c>
      <c r="C12" s="66" t="n">
        <v>16</v>
      </c>
      <c r="D12" s="58" t="s">
        <v>104</v>
      </c>
      <c r="H12" s="87" t="s">
        <v>936</v>
      </c>
    </row>
    <row r="13" customFormat="false" ht="26.85" hidden="false" customHeight="false" outlineLevel="0" collapsed="false">
      <c r="A13" s="60" t="s">
        <v>937</v>
      </c>
      <c r="B13" s="61" t="s">
        <v>103</v>
      </c>
      <c r="C13" s="77" t="n">
        <v>8</v>
      </c>
      <c r="D13" s="58" t="s">
        <v>104</v>
      </c>
      <c r="H13" s="87" t="s">
        <v>938</v>
      </c>
    </row>
    <row r="14" customFormat="false" ht="15" hidden="false" customHeight="false" outlineLevel="0" collapsed="false">
      <c r="A14" s="60" t="s">
        <v>939</v>
      </c>
      <c r="B14" s="60"/>
      <c r="C14" s="105" t="s">
        <v>940</v>
      </c>
      <c r="D14" s="58" t="s">
        <v>92</v>
      </c>
      <c r="H14" s="87" t="s">
        <v>941</v>
      </c>
    </row>
    <row r="15" customFormat="false" ht="15" hidden="false" customHeight="false" outlineLevel="0" collapsed="false">
      <c r="A15" s="60" t="s">
        <v>942</v>
      </c>
      <c r="B15" s="60" t="s">
        <v>95</v>
      </c>
      <c r="C15" s="66" t="n">
        <v>3</v>
      </c>
      <c r="D15" s="58" t="s">
        <v>100</v>
      </c>
      <c r="H15" s="93" t="s">
        <v>943</v>
      </c>
    </row>
    <row r="16" customFormat="false" ht="15" hidden="false" customHeight="false" outlineLevel="0" collapsed="false">
      <c r="A16" s="60" t="s">
        <v>944</v>
      </c>
      <c r="B16" s="60" t="s">
        <v>945</v>
      </c>
      <c r="C16" s="66" t="n">
        <v>4</v>
      </c>
      <c r="D16" s="58" t="s">
        <v>92</v>
      </c>
      <c r="E16" s="81" t="str">
        <f aca="false">INDEX(Spec_Rack!$C$4:$G$4,$C$16)</f>
        <v>VR200 NVL72</v>
      </c>
      <c r="H16" s="87" t="s">
        <v>946</v>
      </c>
    </row>
    <row r="17" customFormat="false" ht="15" hidden="false" customHeight="false" outlineLevel="0" collapsed="false">
      <c r="A17" s="60" t="s">
        <v>947</v>
      </c>
      <c r="B17" s="60" t="s">
        <v>945</v>
      </c>
      <c r="C17" s="66" t="n">
        <v>3</v>
      </c>
      <c r="D17" s="58" t="s">
        <v>92</v>
      </c>
      <c r="E17" s="81" t="str">
        <f aca="false">INDEX(Spec_Rack!$C$4:$G$4,$C$17)</f>
        <v>GB300 NVL72</v>
      </c>
      <c r="H17" s="87" t="s">
        <v>948</v>
      </c>
    </row>
    <row r="19" customFormat="false" ht="15" hidden="false" customHeight="false" outlineLevel="0" collapsed="false">
      <c r="A19" s="68" t="s">
        <v>949</v>
      </c>
      <c r="B19" s="69"/>
      <c r="C19" s="69"/>
      <c r="D19" s="69"/>
      <c r="E19" s="69"/>
      <c r="F19" s="69"/>
      <c r="G19" s="69"/>
      <c r="H19" s="69"/>
    </row>
    <row r="20" customFormat="false" ht="15" hidden="false" customHeight="false" outlineLevel="0" collapsed="false">
      <c r="A20" s="59" t="s">
        <v>171</v>
      </c>
      <c r="C20" s="81" t="str">
        <f aca="false">Spec_Rack!C4</f>
        <v>Hopper H100</v>
      </c>
      <c r="D20" s="81" t="str">
        <f aca="false">Spec_Rack!D4</f>
        <v>GB200 NVL72</v>
      </c>
      <c r="E20" s="81" t="str">
        <f aca="false">Spec_Rack!E4</f>
        <v>GB300 NVL72</v>
      </c>
      <c r="F20" s="81" t="str">
        <f aca="false">Spec_Rack!F4</f>
        <v>VR200 NVL72</v>
      </c>
      <c r="G20" s="81" t="str">
        <f aca="false">Spec_Rack!G4</f>
        <v>Rubin Ultra（MGX NVL 單架，72 GPU）</v>
      </c>
    </row>
    <row r="21" customFormat="false" ht="37.3" hidden="false" customHeight="false" outlineLevel="0" collapsed="false">
      <c r="A21" s="60" t="s">
        <v>950</v>
      </c>
      <c r="B21" s="61" t="s">
        <v>103</v>
      </c>
      <c r="C21" s="78" t="n">
        <v>1</v>
      </c>
      <c r="D21" s="78" t="n">
        <v>1</v>
      </c>
      <c r="E21" s="78" t="n">
        <v>1</v>
      </c>
      <c r="F21" s="78" t="n">
        <v>0.9</v>
      </c>
      <c r="G21" s="78" t="n">
        <v>0.9</v>
      </c>
      <c r="H21" s="87" t="s">
        <v>951</v>
      </c>
    </row>
    <row r="23" customFormat="false" ht="15" hidden="false" customHeight="false" outlineLevel="0" collapsed="false">
      <c r="A23" s="68" t="s">
        <v>952</v>
      </c>
      <c r="B23" s="69"/>
      <c r="C23" s="69"/>
      <c r="D23" s="69"/>
      <c r="E23" s="69"/>
      <c r="F23" s="69"/>
      <c r="G23" s="69"/>
      <c r="H23" s="69"/>
    </row>
    <row r="24" customFormat="false" ht="15" hidden="false" customHeight="false" outlineLevel="0" collapsed="false">
      <c r="A24" s="59" t="s">
        <v>370</v>
      </c>
      <c r="B24" s="59" t="s">
        <v>83</v>
      </c>
      <c r="C24" s="81" t="str">
        <f aca="false">Arch!C4</f>
        <v>Luna（低層）</v>
      </c>
      <c r="D24" s="81" t="str">
        <f aca="false">Arch!D4</f>
        <v>Sol（中層）</v>
      </c>
      <c r="E24" s="81" t="str">
        <f aca="false">Arch!E4</f>
        <v>Astra（頂層）</v>
      </c>
      <c r="H24" s="59" t="s">
        <v>338</v>
      </c>
    </row>
    <row r="25" customFormat="false" ht="24.6" hidden="false" customHeight="false" outlineLevel="0" collapsed="false">
      <c r="A25" s="60" t="s">
        <v>953</v>
      </c>
      <c r="B25" s="61" t="s">
        <v>954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7" t="s">
        <v>955</v>
      </c>
    </row>
    <row r="26" customFormat="false" ht="15" hidden="false" customHeight="false" outlineLevel="0" collapsed="false">
      <c r="A26" s="60" t="s">
        <v>956</v>
      </c>
      <c r="B26" s="61" t="s">
        <v>292</v>
      </c>
      <c r="C26" s="62" t="n">
        <f aca="false">SRC_MOD_031</f>
        <v>4096</v>
      </c>
      <c r="D26" s="62" t="n">
        <f aca="false">SRC_MOD_031</f>
        <v>4096</v>
      </c>
      <c r="E26" s="63" t="n">
        <v>8192</v>
      </c>
      <c r="H26" s="87" t="s">
        <v>957</v>
      </c>
    </row>
    <row r="27" customFormat="false" ht="15" hidden="false" customHeight="false" outlineLevel="0" collapsed="false">
      <c r="A27" s="60" t="s">
        <v>958</v>
      </c>
      <c r="B27" s="61" t="s">
        <v>954</v>
      </c>
      <c r="C27" s="137" t="n">
        <v>1</v>
      </c>
      <c r="D27" s="137" t="n">
        <v>1</v>
      </c>
      <c r="E27" s="137" t="n">
        <v>2</v>
      </c>
      <c r="H27" s="87" t="s">
        <v>959</v>
      </c>
    </row>
    <row r="28" customFormat="false" ht="15" hidden="false" customHeight="false" outlineLevel="0" collapsed="false">
      <c r="A28" s="60" t="s">
        <v>960</v>
      </c>
      <c r="B28" s="61" t="s">
        <v>292</v>
      </c>
      <c r="C28" s="63" t="n">
        <v>131072</v>
      </c>
      <c r="D28" s="63" t="n">
        <v>131072</v>
      </c>
      <c r="E28" s="63" t="n">
        <v>131072</v>
      </c>
      <c r="H28" s="87" t="s">
        <v>100</v>
      </c>
    </row>
    <row r="29" customFormat="false" ht="15" hidden="false" customHeight="false" outlineLevel="0" collapsed="false">
      <c r="A29" s="61" t="s">
        <v>961</v>
      </c>
      <c r="B29" s="61" t="s">
        <v>954</v>
      </c>
      <c r="C29" s="138" t="n">
        <v>0.05</v>
      </c>
      <c r="D29" s="138" t="n">
        <v>0.05</v>
      </c>
      <c r="E29" s="138" t="n">
        <v>0.1</v>
      </c>
      <c r="H29" s="87" t="s">
        <v>962</v>
      </c>
    </row>
    <row r="30" customFormat="false" ht="15" hidden="false" customHeight="false" outlineLevel="0" collapsed="false">
      <c r="A30" s="61" t="s">
        <v>963</v>
      </c>
      <c r="B30" s="61" t="s">
        <v>292</v>
      </c>
      <c r="C30" s="63" t="n">
        <v>16384</v>
      </c>
      <c r="D30" s="63" t="n">
        <v>16384</v>
      </c>
      <c r="E30" s="63" t="n">
        <v>16384</v>
      </c>
      <c r="H30" s="87" t="s">
        <v>100</v>
      </c>
    </row>
    <row r="31" customFormat="false" ht="15" hidden="false" customHeight="false" outlineLevel="0" collapsed="false">
      <c r="A31" s="60" t="s">
        <v>964</v>
      </c>
      <c r="B31" s="61" t="s">
        <v>372</v>
      </c>
      <c r="C31" s="63" t="n">
        <v>20</v>
      </c>
      <c r="D31" s="63" t="n">
        <v>20</v>
      </c>
      <c r="E31" s="63" t="n">
        <v>20</v>
      </c>
      <c r="H31" s="93" t="s">
        <v>965</v>
      </c>
    </row>
    <row r="32" customFormat="false" ht="15" hidden="false" customHeight="false" outlineLevel="0" collapsed="false">
      <c r="A32" s="61" t="s">
        <v>966</v>
      </c>
      <c r="B32" s="61" t="s">
        <v>292</v>
      </c>
      <c r="C32" s="63" t="n">
        <v>4096</v>
      </c>
      <c r="D32" s="63" t="n">
        <v>8192</v>
      </c>
      <c r="E32" s="63" t="n">
        <v>16384</v>
      </c>
      <c r="H32" s="87" t="s">
        <v>100</v>
      </c>
    </row>
    <row r="33" customFormat="false" ht="15" hidden="false" customHeight="false" outlineLevel="0" collapsed="false">
      <c r="A33" s="61" t="s">
        <v>967</v>
      </c>
      <c r="B33" s="61" t="s">
        <v>292</v>
      </c>
      <c r="C33" s="63" t="n">
        <v>8192</v>
      </c>
      <c r="D33" s="63" t="n">
        <v>16384</v>
      </c>
      <c r="E33" s="63" t="n">
        <v>32768</v>
      </c>
      <c r="H33" s="87" t="s">
        <v>968</v>
      </c>
    </row>
    <row r="34" customFormat="false" ht="77.6" hidden="false" customHeight="false" outlineLevel="0" collapsed="false">
      <c r="A34" s="61" t="s">
        <v>969</v>
      </c>
      <c r="B34" s="61" t="s">
        <v>954</v>
      </c>
      <c r="C34" s="139" t="n">
        <v>2.36</v>
      </c>
      <c r="D34" s="139" t="n">
        <v>2.36</v>
      </c>
      <c r="E34" s="139" t="n">
        <v>9.6</v>
      </c>
      <c r="H34" s="87" t="s">
        <v>970</v>
      </c>
    </row>
    <row r="35" customFormat="false" ht="15" hidden="false" customHeight="false" outlineLevel="0" collapsed="false">
      <c r="A35" s="61" t="s">
        <v>971</v>
      </c>
      <c r="B35" s="61" t="s">
        <v>954</v>
      </c>
      <c r="C35" s="138" t="n">
        <v>0.2</v>
      </c>
      <c r="D35" s="138" t="n">
        <v>0.2</v>
      </c>
      <c r="E35" s="138" t="n">
        <v>0.2</v>
      </c>
      <c r="H35" s="87" t="s">
        <v>972</v>
      </c>
    </row>
    <row r="36" customFormat="false" ht="15" hidden="false" customHeight="false" outlineLevel="0" collapsed="false">
      <c r="A36" s="60" t="s">
        <v>973</v>
      </c>
      <c r="B36" s="60" t="s">
        <v>95</v>
      </c>
      <c r="C36" s="66" t="n">
        <v>1</v>
      </c>
      <c r="D36" s="66" t="n">
        <v>2</v>
      </c>
      <c r="E36" s="66" t="n">
        <v>3</v>
      </c>
      <c r="H36" s="87" t="s">
        <v>974</v>
      </c>
    </row>
    <row r="37" customFormat="false" ht="15" hidden="false" customHeight="false" outlineLevel="0" collapsed="false">
      <c r="A37" s="60" t="s">
        <v>975</v>
      </c>
      <c r="B37" s="61" t="s">
        <v>954</v>
      </c>
      <c r="C37" s="137" t="n">
        <v>1</v>
      </c>
      <c r="D37" s="137" t="n">
        <v>2</v>
      </c>
      <c r="E37" s="137" t="n">
        <v>3</v>
      </c>
      <c r="H37" s="87" t="s">
        <v>976</v>
      </c>
    </row>
    <row r="38" customFormat="false" ht="15" hidden="false" customHeight="false" outlineLevel="0" collapsed="false">
      <c r="A38" s="60" t="s">
        <v>977</v>
      </c>
      <c r="B38" s="61" t="s">
        <v>954</v>
      </c>
      <c r="C38" s="138" t="n">
        <v>0.02</v>
      </c>
      <c r="D38" s="138" t="n">
        <v>0.05</v>
      </c>
      <c r="E38" s="138" t="n">
        <v>0.1</v>
      </c>
      <c r="H38" s="87" t="s">
        <v>100</v>
      </c>
    </row>
    <row r="40" customFormat="false" ht="15" hidden="false" customHeight="false" outlineLevel="0" collapsed="false">
      <c r="A40" s="68" t="s">
        <v>978</v>
      </c>
      <c r="B40" s="69"/>
      <c r="C40" s="69"/>
      <c r="D40" s="69"/>
      <c r="E40" s="69"/>
      <c r="F40" s="69"/>
      <c r="G40" s="69"/>
      <c r="H40" s="69"/>
    </row>
    <row r="41" customFormat="false" ht="15" hidden="false" customHeight="false" outlineLevel="0" collapsed="false">
      <c r="A41" s="61" t="s">
        <v>979</v>
      </c>
      <c r="B41" s="61" t="s">
        <v>954</v>
      </c>
      <c r="C41" s="98" t="n">
        <f aca="false">SRC_MOD_039</f>
        <v>14.8</v>
      </c>
      <c r="H41" s="87" t="s">
        <v>980</v>
      </c>
    </row>
    <row r="42" customFormat="false" ht="15" hidden="false" customHeight="false" outlineLevel="0" collapsed="false">
      <c r="A42" s="61" t="s">
        <v>981</v>
      </c>
      <c r="B42" s="61" t="s">
        <v>982</v>
      </c>
      <c r="C42" s="94" t="n">
        <f aca="false">SRC_MOD_040</f>
        <v>2.664</v>
      </c>
      <c r="H42" s="87" t="s">
        <v>983</v>
      </c>
    </row>
    <row r="43" customFormat="false" ht="15" hidden="false" customHeight="false" outlineLevel="0" collapsed="false">
      <c r="A43" s="61" t="s">
        <v>984</v>
      </c>
      <c r="B43" s="61" t="s">
        <v>292</v>
      </c>
      <c r="C43" s="62" t="n">
        <f aca="false">SRC_MOD_042</f>
        <v>4096</v>
      </c>
      <c r="H43" s="87" t="s">
        <v>985</v>
      </c>
    </row>
    <row r="44" customFormat="false" ht="15" hidden="false" customHeight="false" outlineLevel="0" collapsed="false">
      <c r="A44" s="61" t="s">
        <v>986</v>
      </c>
      <c r="B44" s="61" t="s">
        <v>103</v>
      </c>
      <c r="C44" s="109" t="n">
        <f aca="false">SRC_MOD_034/SRC_MOD_040</f>
        <v>0.0551801801801802</v>
      </c>
      <c r="H44" s="87" t="s">
        <v>987</v>
      </c>
    </row>
    <row r="45" customFormat="false" ht="15" hidden="false" customHeight="false" outlineLevel="0" collapsed="false">
      <c r="A45" s="61" t="s">
        <v>988</v>
      </c>
      <c r="B45" s="61" t="s">
        <v>103</v>
      </c>
      <c r="C45" s="108" t="n">
        <f aca="false">SRC_MOD_036</f>
        <v>1</v>
      </c>
      <c r="H45" s="87" t="s">
        <v>989</v>
      </c>
    </row>
    <row r="46" customFormat="false" ht="15" hidden="false" customHeight="false" outlineLevel="0" collapsed="false">
      <c r="A46" s="60" t="s">
        <v>990</v>
      </c>
      <c r="B46" s="61" t="s">
        <v>314</v>
      </c>
      <c r="C46" s="140" t="n">
        <v>2E+026</v>
      </c>
      <c r="H46" s="87" t="s">
        <v>991</v>
      </c>
    </row>
    <row r="47" customFormat="false" ht="15" hidden="false" customHeight="false" outlineLevel="0" collapsed="false">
      <c r="A47" s="60" t="s">
        <v>992</v>
      </c>
      <c r="B47" s="61" t="s">
        <v>314</v>
      </c>
      <c r="C47" s="140" t="n">
        <v>5E+026</v>
      </c>
      <c r="H47" s="93" t="s">
        <v>125</v>
      </c>
    </row>
    <row r="48" customFormat="false" ht="15" hidden="false" customHeight="false" outlineLevel="0" collapsed="false">
      <c r="A48" s="60" t="s">
        <v>993</v>
      </c>
      <c r="B48" s="61" t="s">
        <v>314</v>
      </c>
      <c r="C48" s="140" t="n">
        <v>2E+027</v>
      </c>
      <c r="H48" s="9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7" t="s">
        <v>994</v>
      </c>
    </row>
    <row r="2" customFormat="false" ht="15" hidden="false" customHeight="false" outlineLevel="0" collapsed="false">
      <c r="A2" s="58" t="s">
        <v>995</v>
      </c>
    </row>
    <row r="3" customFormat="false" ht="15" hidden="false" customHeight="false" outlineLevel="0" collapsed="false">
      <c r="A3" s="59" t="s">
        <v>996</v>
      </c>
      <c r="R3" s="59" t="s">
        <v>997</v>
      </c>
      <c r="S3" s="59" t="s">
        <v>997</v>
      </c>
    </row>
    <row r="4" customFormat="false" ht="15" hidden="false" customHeight="false" outlineLevel="0" collapsed="false">
      <c r="A4" s="59" t="s">
        <v>171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  <c r="R4" s="81" t="str">
        <f aca="false">INDEX(Spec_Rack!$C$4:$G$4,R6)</f>
        <v>VR200 NVL72</v>
      </c>
      <c r="S4" s="81" t="str">
        <f aca="false">INDEX(Spec_Rack!$C$4:$G$4,S6)</f>
        <v>VR200 NVL72</v>
      </c>
    </row>
    <row r="5" customFormat="false" ht="15" hidden="false" customHeight="false" outlineLevel="0" collapsed="false">
      <c r="A5" s="59" t="s">
        <v>722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  <c r="R5" s="81" t="str">
        <f aca="false">INDEX(Arch!$C$4:$E$4,R7)</f>
        <v>Sol（中層）</v>
      </c>
      <c r="S5" s="81" t="str">
        <f aca="false">INDEX(Arch!$C$4:$E$4,S7)</f>
        <v>Astra（頂層）</v>
      </c>
    </row>
    <row r="6" customFormat="false" ht="15" hidden="false" customHeight="false" outlineLevel="0" collapsed="false">
      <c r="A6" s="59" t="s">
        <v>452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  <c r="R6" s="66" t="n">
        <v>4</v>
      </c>
      <c r="S6" s="66" t="n">
        <v>4</v>
      </c>
    </row>
    <row r="7" customFormat="false" ht="15" hidden="false" customHeight="false" outlineLevel="0" collapsed="false">
      <c r="A7" s="59" t="s">
        <v>723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  <c r="R7" s="66" t="n">
        <v>2</v>
      </c>
      <c r="S7" s="66" t="n">
        <v>3</v>
      </c>
    </row>
    <row r="9" customFormat="false" ht="15" hidden="false" customHeight="false" outlineLevel="0" collapsed="false">
      <c r="A9" s="75" t="s">
        <v>724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725</v>
      </c>
      <c r="B10" s="61" t="s">
        <v>103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1" t="s">
        <v>726</v>
      </c>
      <c r="B11" s="61" t="s">
        <v>103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0" t="s">
        <v>727</v>
      </c>
      <c r="B12" s="61" t="s">
        <v>103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</row>
    <row r="13" customFormat="false" ht="15" hidden="false" customHeight="false" outlineLevel="0" collapsed="false">
      <c r="A13" s="75" t="s">
        <v>728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customFormat="false" ht="15" hidden="false" customHeight="false" outlineLevel="0" collapsed="false">
      <c r="A14" s="60" t="s">
        <v>475</v>
      </c>
      <c r="B14" s="61" t="s">
        <v>476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1" t="s">
        <v>477</v>
      </c>
      <c r="B15" s="61" t="s">
        <v>729</v>
      </c>
      <c r="C15" s="62" t="n">
        <f aca="false">INDEX(Spec_Rack!$C$25:$G$25,C$6)</f>
        <v>80</v>
      </c>
      <c r="D15" s="62" t="n">
        <f aca="false">INDEX(Spec_Rack!$C$25:$G$25,D$6)</f>
        <v>80</v>
      </c>
      <c r="E15" s="62" t="n">
        <f aca="false">INDEX(Spec_Rack!$C$25:$G$25,E$6)</f>
        <v>80</v>
      </c>
      <c r="F15" s="62" t="n">
        <f aca="false">INDEX(Spec_Rack!$C$25:$G$25,F$6)</f>
        <v>186</v>
      </c>
      <c r="G15" s="62" t="n">
        <f aca="false">INDEX(Spec_Rack!$C$25:$G$25,G$6)</f>
        <v>186</v>
      </c>
      <c r="H15" s="62" t="n">
        <f aca="false">INDEX(Spec_Rack!$C$25:$G$25,H$6)</f>
        <v>186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1024</v>
      </c>
      <c r="P15" s="62" t="n">
        <f aca="false">INDEX(Spec_Rack!$C$25:$G$25,P$6)</f>
        <v>1024</v>
      </c>
      <c r="Q15" s="62" t="n">
        <f aca="false">INDEX(Spec_Rack!$C$25:$G$25,Q$6)</f>
        <v>1024</v>
      </c>
      <c r="R15" s="62" t="n">
        <f aca="false">INDEX(Spec_Rack!$C$25:$G$25,R$6)</f>
        <v>288</v>
      </c>
      <c r="S15" s="62" t="n">
        <f aca="false">INDEX(Spec_Rack!$C$25:$G$25,S$6)</f>
        <v>288</v>
      </c>
    </row>
    <row r="16" customFormat="false" ht="15" hidden="false" customHeight="false" outlineLevel="0" collapsed="false">
      <c r="A16" s="61" t="s">
        <v>478</v>
      </c>
      <c r="B16" s="61" t="s">
        <v>361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1" t="s">
        <v>730</v>
      </c>
      <c r="B17" s="61" t="s">
        <v>361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1" t="s">
        <v>232</v>
      </c>
      <c r="B18" s="61" t="s">
        <v>731</v>
      </c>
      <c r="C18" s="62" t="n">
        <f aca="false">INDEX(Spec_Rack!$C$29:$G$29,C$6)</f>
        <v>64</v>
      </c>
      <c r="D18" s="62" t="n">
        <f aca="false">INDEX(Spec_Rack!$C$29:$G$29,D$6)</f>
        <v>64</v>
      </c>
      <c r="E18" s="62" t="n">
        <f aca="false">INDEX(Spec_Rack!$C$29:$G$29,E$6)</f>
        <v>64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64</v>
      </c>
      <c r="P18" s="62" t="n">
        <f aca="false">INDEX(Spec_Rack!$C$29:$G$29,P$6)</f>
        <v>64</v>
      </c>
      <c r="Q18" s="62" t="n">
        <f aca="false">INDEX(Spec_Rack!$C$29:$G$29,Q$6)</f>
        <v>64</v>
      </c>
      <c r="R18" s="62" t="n">
        <f aca="false">INDEX(Spec_Rack!$C$29:$G$29,R$6)</f>
        <v>32</v>
      </c>
      <c r="S18" s="62" t="n">
        <f aca="false">INDEX(Spec_Rack!$C$29:$G$29,S$6)</f>
        <v>32</v>
      </c>
    </row>
    <row r="19" customFormat="false" ht="15" hidden="false" customHeight="false" outlineLevel="0" collapsed="false">
      <c r="A19" s="60" t="s">
        <v>732</v>
      </c>
      <c r="B19" s="61" t="s">
        <v>271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0" t="s">
        <v>733</v>
      </c>
      <c r="B20" s="61" t="s">
        <v>271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0" t="n">
        <v>1</v>
      </c>
      <c r="S20" s="80" t="n">
        <v>1</v>
      </c>
    </row>
    <row r="21" customFormat="false" ht="15" hidden="false" customHeight="false" outlineLevel="0" collapsed="false">
      <c r="A21" s="60" t="s">
        <v>734</v>
      </c>
      <c r="B21" s="61" t="s">
        <v>731</v>
      </c>
      <c r="C21" s="62" t="n">
        <f aca="false">INDEX(Spec_Rack!$C$32:$G$32,C$6)</f>
        <v>8</v>
      </c>
      <c r="D21" s="62" t="n">
        <f aca="false">INDEX(Spec_Rack!$C$32:$G$32,D$6)</f>
        <v>8</v>
      </c>
      <c r="E21" s="62" t="n">
        <f aca="false">INDEX(Spec_Rack!$C$32:$G$32,E$6)</f>
        <v>8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8</v>
      </c>
      <c r="P21" s="62" t="n">
        <f aca="false">INDEX(Spec_Rack!$C$32:$G$32,P$6)</f>
        <v>8</v>
      </c>
      <c r="Q21" s="62" t="n">
        <f aca="false">INDEX(Spec_Rack!$C$32:$G$32,Q$6)</f>
        <v>8</v>
      </c>
      <c r="R21" s="62" t="n">
        <f aca="false">INDEX(Spec_Rack!$C$32:$G$32,R$6)</f>
        <v>4</v>
      </c>
      <c r="S21" s="62" t="n">
        <f aca="false">INDEX(Spec_Rack!$C$32:$G$32,S$6)</f>
        <v>4</v>
      </c>
    </row>
    <row r="22" customFormat="false" ht="15" hidden="false" customHeight="false" outlineLevel="0" collapsed="false">
      <c r="A22" s="61" t="s">
        <v>184</v>
      </c>
      <c r="B22" s="60" t="s">
        <v>735</v>
      </c>
      <c r="C22" s="62" t="n">
        <f aca="false">INDEX(Spec_Rack!$C$6:$G$6,C$6)</f>
        <v>32</v>
      </c>
      <c r="D22" s="62" t="n">
        <f aca="false">INDEX(Spec_Rack!$C$6:$G$6,D$6)</f>
        <v>32</v>
      </c>
      <c r="E22" s="62" t="n">
        <f aca="false">INDEX(Spec_Rack!$C$6:$G$6,E$6)</f>
        <v>32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  <c r="R22" s="62" t="n">
        <f aca="false">INDEX(Spec_Rack!$C$6:$G$6,R$6)</f>
        <v>72</v>
      </c>
      <c r="S22" s="62" t="n">
        <f aca="false">INDEX(Spec_Rack!$C$6:$G$6,S$6)</f>
        <v>72</v>
      </c>
    </row>
    <row r="23" customFormat="false" ht="15" hidden="false" customHeight="false" outlineLevel="0" collapsed="false">
      <c r="A23" s="61" t="s">
        <v>736</v>
      </c>
      <c r="B23" s="61" t="s">
        <v>737</v>
      </c>
      <c r="C23" s="62" t="n">
        <f aca="false">INDEX(Spec_Rack!$C$33:$G$33,C$6)</f>
        <v>700</v>
      </c>
      <c r="D23" s="62" t="n">
        <f aca="false">INDEX(Spec_Rack!$C$33:$G$33,D$6)</f>
        <v>700</v>
      </c>
      <c r="E23" s="62" t="n">
        <f aca="false">INDEX(Spec_Rack!$C$33:$G$33,E$6)</f>
        <v>700</v>
      </c>
      <c r="F23" s="62" t="n">
        <f aca="false">INDEX(Spec_Rack!$C$33:$G$33,F$6)</f>
        <v>1200</v>
      </c>
      <c r="G23" s="62" t="n">
        <f aca="false">INDEX(Spec_Rack!$C$33:$G$33,G$6)</f>
        <v>1200</v>
      </c>
      <c r="H23" s="62" t="n">
        <f aca="false">INDEX(Spec_Rack!$C$33:$G$33,H$6)</f>
        <v>1200</v>
      </c>
      <c r="I23" s="62" t="n">
        <f aca="false">INDEX(Spec_Rack!$C$33:$G$33,I$6)</f>
        <v>1400</v>
      </c>
      <c r="J23" s="62" t="n">
        <f aca="false">INDEX(Spec_Rack!$C$33:$G$33,J$6)</f>
        <v>1400</v>
      </c>
      <c r="K23" s="62" t="n">
        <f aca="false">INDEX(Spec_Rack!$C$33:$G$33,K$6)</f>
        <v>1400</v>
      </c>
      <c r="L23" s="62" t="n">
        <f aca="false">INDEX(Spec_Rack!$C$33:$G$33,L$6)</f>
        <v>1800</v>
      </c>
      <c r="M23" s="62" t="n">
        <f aca="false">INDEX(Spec_Rack!$C$33:$G$33,M$6)</f>
        <v>1800</v>
      </c>
      <c r="N23" s="62" t="n">
        <f aca="false">INDEX(Spec_Rack!$C$33:$G$33,N$6)</f>
        <v>1800</v>
      </c>
      <c r="O23" s="62" t="n">
        <f aca="false">INDEX(Spec_Rack!$C$33:$G$33,O$6)</f>
        <v>3600</v>
      </c>
      <c r="P23" s="62" t="n">
        <f aca="false">INDEX(Spec_Rack!$C$33:$G$33,P$6)</f>
        <v>3600</v>
      </c>
      <c r="Q23" s="62" t="n">
        <f aca="false">INDEX(Spec_Rack!$C$33:$G$33,Q$6)</f>
        <v>3600</v>
      </c>
      <c r="R23" s="62" t="n">
        <f aca="false">INDEX(Spec_Rack!$C$33:$G$33,R$6)</f>
        <v>1800</v>
      </c>
      <c r="S23" s="62" t="n">
        <f aca="false">INDEX(Spec_Rack!$C$33:$G$33,S$6)</f>
        <v>1800</v>
      </c>
    </row>
    <row r="24" customFormat="false" ht="15" hidden="false" customHeight="false" outlineLevel="0" collapsed="false">
      <c r="A24" s="61" t="s">
        <v>738</v>
      </c>
      <c r="B24" s="61" t="s">
        <v>739</v>
      </c>
      <c r="C24" s="62" t="n">
        <f aca="false">INDEX(Spec_Rack!$C$34:$G$34,C$6)</f>
        <v>31</v>
      </c>
      <c r="D24" s="62" t="n">
        <f aca="false">INDEX(Spec_Rack!$C$34:$G$34,D$6)</f>
        <v>31</v>
      </c>
      <c r="E24" s="62" t="n">
        <f aca="false">INDEX(Spec_Rack!$C$34:$G$34,E$6)</f>
        <v>31</v>
      </c>
      <c r="F24" s="62" t="n">
        <f aca="false">INDEX(Spec_Rack!$C$34:$G$34,F$6)</f>
        <v>25</v>
      </c>
      <c r="G24" s="62" t="n">
        <f aca="false">INDEX(Spec_Rack!$C$34:$G$34,G$6)</f>
        <v>25</v>
      </c>
      <c r="H24" s="62" t="n">
        <f aca="false">INDEX(Spec_Rack!$C$34:$G$34,H$6)</f>
        <v>25</v>
      </c>
      <c r="I24" s="62" t="n">
        <f aca="false">INDEX(Spec_Rack!$C$34:$G$34,I$6)</f>
        <v>25</v>
      </c>
      <c r="J24" s="62" t="n">
        <f aca="false">INDEX(Spec_Rack!$C$34:$G$34,J$6)</f>
        <v>25</v>
      </c>
      <c r="K24" s="62" t="n">
        <f aca="false">INDEX(Spec_Rack!$C$34:$G$34,K$6)</f>
        <v>25</v>
      </c>
      <c r="L24" s="62" t="n">
        <f aca="false">INDEX(Spec_Rack!$C$34:$G$34,L$6)</f>
        <v>20</v>
      </c>
      <c r="M24" s="62" t="n">
        <f aca="false">INDEX(Spec_Rack!$C$34:$G$34,M$6)</f>
        <v>20</v>
      </c>
      <c r="N24" s="62" t="n">
        <f aca="false">INDEX(Spec_Rack!$C$34:$G$34,N$6)</f>
        <v>20</v>
      </c>
      <c r="O24" s="62" t="n">
        <f aca="false">INDEX(Spec_Rack!$C$34:$G$34,O$6)</f>
        <v>18</v>
      </c>
      <c r="P24" s="62" t="n">
        <f aca="false">INDEX(Spec_Rack!$C$34:$G$34,P$6)</f>
        <v>18</v>
      </c>
      <c r="Q24" s="62" t="n">
        <f aca="false">INDEX(Spec_Rack!$C$34:$G$34,Q$6)</f>
        <v>18</v>
      </c>
      <c r="R24" s="62" t="n">
        <f aca="false">INDEX(Spec_Rack!$C$34:$G$34,R$6)</f>
        <v>20</v>
      </c>
      <c r="S24" s="62" t="n">
        <f aca="false">INDEX(Spec_Rack!$C$34:$G$34,S$6)</f>
        <v>20</v>
      </c>
    </row>
    <row r="25" customFormat="false" ht="15" hidden="false" customHeight="false" outlineLevel="0" collapsed="false">
      <c r="A25" s="60" t="s">
        <v>740</v>
      </c>
      <c r="B25" s="60" t="s">
        <v>741</v>
      </c>
      <c r="C25" s="62" t="n">
        <f aca="false">INDEX(DC_Cost!$C$12:$Q$12,3*(C$6-1)+2)/CTL_GW</f>
        <v>22439</v>
      </c>
      <c r="D25" s="62" t="n">
        <f aca="false">INDEX(DC_Cost!$C$12:$Q$12,3*(D$6-1)+2)/CTL_GW</f>
        <v>22439</v>
      </c>
      <c r="E25" s="62" t="n">
        <f aca="false">INDEX(DC_Cost!$C$12:$Q$12,3*(E$6-1)+2)/CTL_GW</f>
        <v>22439</v>
      </c>
      <c r="F25" s="62" t="n">
        <f aca="false">INDEX(DC_Cost!$C$12:$Q$12,3*(F$6-1)+2)/CTL_GW</f>
        <v>6969</v>
      </c>
      <c r="G25" s="62" t="n">
        <f aca="false">INDEX(DC_Cost!$C$12:$Q$12,3*(G$6-1)+2)/CTL_GW</f>
        <v>6969</v>
      </c>
      <c r="H25" s="62" t="n">
        <f aca="false">INDEX(DC_Cost!$C$12:$Q$12,3*(H$6-1)+2)/CTL_GW</f>
        <v>6969</v>
      </c>
      <c r="I25" s="62" t="n">
        <f aca="false">INDEX(DC_Cost!$C$12:$Q$12,3*(I$6-1)+2)/CTL_GW</f>
        <v>6764</v>
      </c>
      <c r="J25" s="62" t="n">
        <f aca="false">INDEX(DC_Cost!$C$12:$Q$12,3*(J$6-1)+2)/CTL_GW</f>
        <v>6764</v>
      </c>
      <c r="K25" s="62" t="n">
        <f aca="false">INDEX(DC_Cost!$C$12:$Q$12,3*(K$6-1)+2)/CTL_GW</f>
        <v>6764</v>
      </c>
      <c r="L25" s="62" t="n">
        <f aca="false">INDEX(DC_Cost!$C$12:$Q$12,3*(L$6-1)+2)/CTL_GW</f>
        <v>4052</v>
      </c>
      <c r="M25" s="62" t="n">
        <f aca="false">INDEX(DC_Cost!$C$12:$Q$12,3*(M$6-1)+2)/CTL_GW</f>
        <v>4052</v>
      </c>
      <c r="N25" s="62" t="n">
        <f aca="false">INDEX(DC_Cost!$C$12:$Q$12,3*(N$6-1)+2)/CTL_GW</f>
        <v>4052</v>
      </c>
      <c r="O25" s="62" t="n">
        <f aca="false">INDEX(DC_Cost!$C$12:$Q$12,3*(O$6-1)+2)/CTL_GW</f>
        <v>2705</v>
      </c>
      <c r="P25" s="62" t="n">
        <f aca="false">INDEX(DC_Cost!$C$12:$Q$12,3*(P$6-1)+2)/CTL_GW</f>
        <v>2705</v>
      </c>
      <c r="Q25" s="62" t="n">
        <f aca="false">INDEX(DC_Cost!$C$12:$Q$12,3*(Q$6-1)+2)/CTL_GW</f>
        <v>2705</v>
      </c>
      <c r="R25" s="62" t="n">
        <f aca="false">INDEX(DC_Cost!$C$12:$Q$12,3*(R$6-1)+2)/CTL_GW</f>
        <v>4052</v>
      </c>
      <c r="S25" s="62" t="n">
        <f aca="false">INDEX(DC_Cost!$C$12:$Q$12,3*(S$6-1)+2)/CTL_GW</f>
        <v>4052</v>
      </c>
    </row>
    <row r="26" customFormat="false" ht="15" hidden="false" customHeight="false" outlineLevel="0" collapsed="false">
      <c r="A26" s="60" t="s">
        <v>742</v>
      </c>
      <c r="B26" s="61" t="s">
        <v>743</v>
      </c>
      <c r="C26" s="62" t="n">
        <f aca="false">INDEX(DC_Cost!$C$11:$Q$11,3*(C$6-1)+2)</f>
        <v>41</v>
      </c>
      <c r="D26" s="62" t="n">
        <f aca="false">INDEX(DC_Cost!$C$11:$Q$11,3*(D$6-1)+2)</f>
        <v>41</v>
      </c>
      <c r="E26" s="62" t="n">
        <f aca="false">INDEX(DC_Cost!$C$11:$Q$11,3*(E$6-1)+2)</f>
        <v>41</v>
      </c>
      <c r="F26" s="62" t="n">
        <f aca="false">INDEX(DC_Cost!$C$11:$Q$11,3*(F$6-1)+2)</f>
        <v>132</v>
      </c>
      <c r="G26" s="62" t="n">
        <f aca="false">INDEX(DC_Cost!$C$11:$Q$11,3*(G$6-1)+2)</f>
        <v>132</v>
      </c>
      <c r="H26" s="62" t="n">
        <f aca="false">INDEX(DC_Cost!$C$11:$Q$11,3*(H$6-1)+2)</f>
        <v>132</v>
      </c>
      <c r="I26" s="62" t="n">
        <f aca="false">INDEX(DC_Cost!$C$11:$Q$11,3*(I$6-1)+2)</f>
        <v>136</v>
      </c>
      <c r="J26" s="62" t="n">
        <f aca="false">INDEX(DC_Cost!$C$11:$Q$11,3*(J$6-1)+2)</f>
        <v>136</v>
      </c>
      <c r="K26" s="62" t="n">
        <f aca="false">INDEX(DC_Cost!$C$11:$Q$11,3*(K$6-1)+2)</f>
        <v>136</v>
      </c>
      <c r="L26" s="62" t="n">
        <f aca="false">INDEX(DC_Cost!$C$11:$Q$11,3*(L$6-1)+2)</f>
        <v>227</v>
      </c>
      <c r="M26" s="62" t="n">
        <f aca="false">INDEX(DC_Cost!$C$11:$Q$11,3*(M$6-1)+2)</f>
        <v>227</v>
      </c>
      <c r="N26" s="62" t="n">
        <f aca="false">INDEX(DC_Cost!$C$11:$Q$11,3*(N$6-1)+2)</f>
        <v>227</v>
      </c>
      <c r="O26" s="62" t="n">
        <f aca="false">INDEX(DC_Cost!$C$11:$Q$11,3*(O$6-1)+2)</f>
        <v>340</v>
      </c>
      <c r="P26" s="62" t="n">
        <f aca="false">INDEX(DC_Cost!$C$11:$Q$11,3*(P$6-1)+2)</f>
        <v>340</v>
      </c>
      <c r="Q26" s="62" t="n">
        <f aca="false">INDEX(DC_Cost!$C$11:$Q$11,3*(Q$6-1)+2)</f>
        <v>340</v>
      </c>
      <c r="R26" s="62" t="n">
        <f aca="false">INDEX(DC_Cost!$C$11:$Q$11,3*(R$6-1)+2)</f>
        <v>227</v>
      </c>
      <c r="S26" s="62" t="n">
        <f aca="false">INDEX(DC_Cost!$C$11:$Q$11,3*(S$6-1)+2)</f>
        <v>227</v>
      </c>
    </row>
    <row r="27" customFormat="false" ht="15" hidden="false" customHeight="false" outlineLevel="0" collapsed="false">
      <c r="A27" s="75" t="s">
        <v>744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0" t="s">
        <v>274</v>
      </c>
      <c r="B28" s="61" t="s">
        <v>271</v>
      </c>
      <c r="C28" s="62" t="n">
        <f aca="false">INDEX(Arch!$C$7:$E$7,C$7)*INDEX(ARCH_ScaleGen,1,C$6)</f>
        <v>13</v>
      </c>
      <c r="D28" s="62" t="n">
        <f aca="false">INDEX(Arch!$C$7:$E$7,D$7)*INDEX(ARCH_ScaleGen,1,D$6)</f>
        <v>49</v>
      </c>
      <c r="E28" s="62" t="n">
        <f aca="false">INDEX(Arch!$C$7:$E$7,E$7)*INDEX(ARCH_ScaleGen,1,E$6)</f>
        <v>180</v>
      </c>
      <c r="F28" s="62" t="n">
        <f aca="false">INDEX(Arch!$C$7:$E$7,F$7)*INDEX(ARCH_ScaleGen,1,F$6)</f>
        <v>13</v>
      </c>
      <c r="G28" s="62" t="n">
        <f aca="false">INDEX(Arch!$C$7:$E$7,G$7)*INDEX(ARCH_ScaleGen,1,G$6)</f>
        <v>49</v>
      </c>
      <c r="H28" s="62" t="n">
        <f aca="false">INDEX(Arch!$C$7:$E$7,H$7)*INDEX(ARCH_ScaleGen,1,H$6)</f>
        <v>180</v>
      </c>
      <c r="I28" s="62" t="n">
        <f aca="false">INDEX(Arch!$C$7:$E$7,I$7)*INDEX(ARCH_ScaleGen,1,I$6)</f>
        <v>13</v>
      </c>
      <c r="J28" s="62" t="n">
        <f aca="false">INDEX(Arch!$C$7:$E$7,J$7)*INDEX(ARCH_ScaleGen,1,J$6)</f>
        <v>49</v>
      </c>
      <c r="K28" s="62" t="n">
        <f aca="false">INDEX(Arch!$C$7:$E$7,K$7)*INDEX(ARCH_ScaleGen,1,K$6)</f>
        <v>180</v>
      </c>
      <c r="L28" s="62" t="n">
        <f aca="false">INDEX(Arch!$C$7:$E$7,L$7)*INDEX(ARCH_ScaleGen,1,L$6)</f>
        <v>13</v>
      </c>
      <c r="M28" s="62" t="n">
        <f aca="false">INDEX(Arch!$C$7:$E$7,M$7)*INDEX(ARCH_ScaleGen,1,M$6)</f>
        <v>49</v>
      </c>
      <c r="N28" s="62" t="n">
        <f aca="false">INDEX(Arch!$C$7:$E$7,N$7)*INDEX(ARCH_ScaleGen,1,N$6)</f>
        <v>180</v>
      </c>
      <c r="O28" s="62" t="n">
        <f aca="false">INDEX(Arch!$C$7:$E$7,O$7)*INDEX(ARCH_ScaleGen,1,O$6)</f>
        <v>13</v>
      </c>
      <c r="P28" s="62" t="n">
        <f aca="false">INDEX(Arch!$C$7:$E$7,P$7)*INDEX(ARCH_ScaleGen,1,P$6)</f>
        <v>49</v>
      </c>
      <c r="Q28" s="62" t="n">
        <f aca="false">INDEX(Arch!$C$7:$E$7,Q$7)*INDEX(ARCH_ScaleGen,1,Q$6)</f>
        <v>180</v>
      </c>
      <c r="R28" s="62" t="n">
        <f aca="false">INDEX(Arch!$C$7:$E$7,R$7)*INDEX(ARCH_ScaleGen,1,R$6)</f>
        <v>49</v>
      </c>
      <c r="S28" s="62" t="n">
        <f aca="false">INDEX(Arch!$C$7:$E$7,S$7)*INDEX(ARCH_ScaleGen,1,S$6)</f>
        <v>180</v>
      </c>
    </row>
    <row r="29" customFormat="false" ht="15" hidden="false" customHeight="false" outlineLevel="0" collapsed="false">
      <c r="A29" s="60" t="s">
        <v>276</v>
      </c>
      <c r="B29" s="60" t="s">
        <v>277</v>
      </c>
      <c r="C29" s="62" t="n">
        <f aca="false">INDEX(Arch!$C$8:$E$8,C$7)</f>
        <v>43</v>
      </c>
      <c r="D29" s="62" t="n">
        <f aca="false">INDEX(Arch!$C$8:$E$8,D$7)</f>
        <v>61</v>
      </c>
      <c r="E29" s="62" t="n">
        <f aca="false">INDEX(Arch!$C$8:$E$8,E$7)</f>
        <v>100</v>
      </c>
      <c r="F29" s="62" t="n">
        <f aca="false">INDEX(Arch!$C$8:$E$8,F$7)</f>
        <v>43</v>
      </c>
      <c r="G29" s="62" t="n">
        <f aca="false">INDEX(Arch!$C$8:$E$8,G$7)</f>
        <v>61</v>
      </c>
      <c r="H29" s="62" t="n">
        <f aca="false">INDEX(Arch!$C$8:$E$8,H$7)</f>
        <v>100</v>
      </c>
      <c r="I29" s="62" t="n">
        <f aca="false">INDEX(Arch!$C$8:$E$8,I$7)</f>
        <v>43</v>
      </c>
      <c r="J29" s="62" t="n">
        <f aca="false">INDEX(Arch!$C$8:$E$8,J$7)</f>
        <v>61</v>
      </c>
      <c r="K29" s="62" t="n">
        <f aca="false">INDEX(Arch!$C$8:$E$8,K$7)</f>
        <v>100</v>
      </c>
      <c r="L29" s="62" t="n">
        <f aca="false">INDEX(Arch!$C$8:$E$8,L$7)</f>
        <v>43</v>
      </c>
      <c r="M29" s="62" t="n">
        <f aca="false">INDEX(Arch!$C$8:$E$8,M$7)</f>
        <v>61</v>
      </c>
      <c r="N29" s="62" t="n">
        <f aca="false">INDEX(Arch!$C$8:$E$8,N$7)</f>
        <v>100</v>
      </c>
      <c r="O29" s="62" t="n">
        <f aca="false">INDEX(Arch!$C$8:$E$8,O$7)</f>
        <v>43</v>
      </c>
      <c r="P29" s="62" t="n">
        <f aca="false">INDEX(Arch!$C$8:$E$8,P$7)</f>
        <v>61</v>
      </c>
      <c r="Q29" s="62" t="n">
        <f aca="false">INDEX(Arch!$C$8:$E$8,Q$7)</f>
        <v>100</v>
      </c>
      <c r="R29" s="62" t="n">
        <f aca="false">INDEX(Arch!$C$8:$E$8,R$7)</f>
        <v>61</v>
      </c>
      <c r="S29" s="62" t="n">
        <f aca="false">INDEX(Arch!$C$8:$E$8,S$7)</f>
        <v>100</v>
      </c>
    </row>
    <row r="30" customFormat="false" ht="15" hidden="false" customHeight="false" outlineLevel="0" collapsed="false">
      <c r="A30" s="61" t="s">
        <v>279</v>
      </c>
      <c r="B30" s="60"/>
      <c r="C30" s="62" t="n">
        <f aca="false">INDEX(Arch!$C$9:$E$9,C$7)</f>
        <v>4096</v>
      </c>
      <c r="D30" s="62" t="n">
        <f aca="false">INDEX(Arch!$C$9:$E$9,D$7)</f>
        <v>7168</v>
      </c>
      <c r="E30" s="62" t="n">
        <f aca="false">INDEX(Arch!$C$9:$E$9,E$7)</f>
        <v>12288</v>
      </c>
      <c r="F30" s="62" t="n">
        <f aca="false">INDEX(Arch!$C$9:$E$9,F$7)</f>
        <v>4096</v>
      </c>
      <c r="G30" s="62" t="n">
        <f aca="false">INDEX(Arch!$C$9:$E$9,G$7)</f>
        <v>7168</v>
      </c>
      <c r="H30" s="62" t="n">
        <f aca="false">INDEX(Arch!$C$9:$E$9,H$7)</f>
        <v>12288</v>
      </c>
      <c r="I30" s="62" t="n">
        <f aca="false">INDEX(Arch!$C$9:$E$9,I$7)</f>
        <v>4096</v>
      </c>
      <c r="J30" s="62" t="n">
        <f aca="false">INDEX(Arch!$C$9:$E$9,J$7)</f>
        <v>7168</v>
      </c>
      <c r="K30" s="62" t="n">
        <f aca="false">INDEX(Arch!$C$9:$E$9,K$7)</f>
        <v>12288</v>
      </c>
      <c r="L30" s="62" t="n">
        <f aca="false">INDEX(Arch!$C$9:$E$9,L$7)</f>
        <v>4096</v>
      </c>
      <c r="M30" s="62" t="n">
        <f aca="false">INDEX(Arch!$C$9:$E$9,M$7)</f>
        <v>7168</v>
      </c>
      <c r="N30" s="62" t="n">
        <f aca="false">INDEX(Arch!$C$9:$E$9,N$7)</f>
        <v>12288</v>
      </c>
      <c r="O30" s="62" t="n">
        <f aca="false">INDEX(Arch!$C$9:$E$9,O$7)</f>
        <v>4096</v>
      </c>
      <c r="P30" s="62" t="n">
        <f aca="false">INDEX(Arch!$C$9:$E$9,P$7)</f>
        <v>7168</v>
      </c>
      <c r="Q30" s="62" t="n">
        <f aca="false">INDEX(Arch!$C$9:$E$9,Q$7)</f>
        <v>12288</v>
      </c>
      <c r="R30" s="62" t="n">
        <f aca="false">INDEX(Arch!$C$9:$E$9,R$7)</f>
        <v>7168</v>
      </c>
      <c r="S30" s="62" t="n">
        <f aca="false">INDEX(Arch!$C$9:$E$9,S$7)</f>
        <v>12288</v>
      </c>
    </row>
    <row r="31" customFormat="false" ht="15" hidden="false" customHeight="false" outlineLevel="0" collapsed="false">
      <c r="A31" s="60" t="s">
        <v>745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16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16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16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16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16</v>
      </c>
      <c r="R31" s="62" t="n">
        <f aca="false">INDEX(Arch!$C$13:$E$13,R$7)</f>
        <v>6</v>
      </c>
      <c r="S31" s="62" t="n">
        <f aca="false">INDEX(Arch!$C$13:$E$13,S$7)</f>
        <v>16</v>
      </c>
    </row>
    <row r="32" customFormat="false" ht="15" hidden="false" customHeight="false" outlineLevel="0" collapsed="false">
      <c r="A32" s="60" t="s">
        <v>485</v>
      </c>
      <c r="B32" s="61" t="s">
        <v>271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0" t="s">
        <v>312</v>
      </c>
      <c r="B33" s="61" t="s">
        <v>271</v>
      </c>
      <c r="C33" s="62" t="n">
        <f aca="false">INDEX(Arch!$C$29:$E$29,C$7)*INDEX(ARCH_ScaleGen,1,C$6)</f>
        <v>278.588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3950.92741935484</v>
      </c>
      <c r="F33" s="62" t="n">
        <f aca="false">INDEX(Arch!$C$29:$E$29,F$7)*INDEX(ARCH_ScaleGen,1,F$6)</f>
        <v>278.588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3950.92741935484</v>
      </c>
      <c r="I33" s="62" t="n">
        <f aca="false">INDEX(Arch!$C$29:$E$29,I$7)*INDEX(ARCH_ScaleGen,1,I$6)</f>
        <v>278.588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3950.92741935484</v>
      </c>
      <c r="L33" s="62" t="n">
        <f aca="false">INDEX(Arch!$C$29:$E$29,L$7)*INDEX(ARCH_ScaleGen,1,L$6)</f>
        <v>278.588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3950.92741935484</v>
      </c>
      <c r="O33" s="62" t="n">
        <f aca="false">INDEX(Arch!$C$29:$E$29,O$7)*INDEX(ARCH_ScaleGen,1,O$6)</f>
        <v>278.588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3950.92741935484</v>
      </c>
      <c r="R33" s="62" t="n">
        <f aca="false">INDEX(Arch!$C$29:$E$29,R$7)*INDEX(ARCH_ScaleGen,1,R$6)</f>
        <v>1579.72222222222</v>
      </c>
      <c r="S33" s="62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1" t="s">
        <v>746</v>
      </c>
      <c r="B34" s="61" t="s">
        <v>271</v>
      </c>
      <c r="C34" s="62" t="n">
        <f aca="false">INDEX(Arch!$C$25:$E$25,C$7)*C11</f>
        <v>2795</v>
      </c>
      <c r="D34" s="62" t="n">
        <f aca="false">INDEX(Arch!$C$25:$E$25,D$7)*D11</f>
        <v>3965</v>
      </c>
      <c r="E34" s="62" t="n">
        <f aca="false">INDEX(Arch!$C$25:$E$25,E$7)*E11</f>
        <v>57600</v>
      </c>
      <c r="F34" s="62" t="n">
        <f aca="false">INDEX(Arch!$C$25:$E$25,F$7)*F11</f>
        <v>2795</v>
      </c>
      <c r="G34" s="62" t="n">
        <f aca="false">INDEX(Arch!$C$25:$E$25,G$7)*G11</f>
        <v>3965</v>
      </c>
      <c r="H34" s="62" t="n">
        <f aca="false">INDEX(Arch!$C$25:$E$25,H$7)*H11</f>
        <v>57600</v>
      </c>
      <c r="I34" s="62" t="n">
        <f aca="false">INDEX(Arch!$C$25:$E$25,I$7)*I11</f>
        <v>2795</v>
      </c>
      <c r="J34" s="62" t="n">
        <f aca="false">INDEX(Arch!$C$25:$E$25,J$7)*J11</f>
        <v>3965</v>
      </c>
      <c r="K34" s="62" t="n">
        <f aca="false">INDEX(Arch!$C$25:$E$25,K$7)*K11</f>
        <v>57600</v>
      </c>
      <c r="L34" s="62" t="n">
        <f aca="false">INDEX(Arch!$C$25:$E$25,L$7)*L11</f>
        <v>2795</v>
      </c>
      <c r="M34" s="62" t="n">
        <f aca="false">INDEX(Arch!$C$25:$E$25,M$7)*M11</f>
        <v>3965</v>
      </c>
      <c r="N34" s="62" t="n">
        <f aca="false">INDEX(Arch!$C$25:$E$25,N$7)*N11</f>
        <v>57600</v>
      </c>
      <c r="O34" s="62" t="n">
        <f aca="false">INDEX(Arch!$C$25:$E$25,O$7)*O11</f>
        <v>2795</v>
      </c>
      <c r="P34" s="62" t="n">
        <f aca="false">INDEX(Arch!$C$25:$E$25,P$7)*P11</f>
        <v>3965</v>
      </c>
      <c r="Q34" s="62" t="n">
        <f aca="false">INDEX(Arch!$C$25:$E$25,Q$7)*Q11</f>
        <v>57600</v>
      </c>
      <c r="R34" s="62" t="n">
        <f aca="false">INDEX(Arch!$C$25:$E$25,R$7)*R11</f>
        <v>3965</v>
      </c>
      <c r="S34" s="62" t="n">
        <f aca="false">INDEX(Arch!$C$25:$E$25,S$7)*S11</f>
        <v>57600</v>
      </c>
    </row>
    <row r="35" customFormat="false" ht="15" hidden="false" customHeight="false" outlineLevel="0" collapsed="false">
      <c r="A35" s="60" t="s">
        <v>487</v>
      </c>
      <c r="B35" s="61" t="s">
        <v>314</v>
      </c>
      <c r="C35" s="62" t="n">
        <f aca="false">INDEX(Arch!$C$30:$E$30,C$7)</f>
        <v>5636096</v>
      </c>
      <c r="D35" s="62" t="n">
        <f aca="false">INDEX(Arch!$C$30:$E$30,D$7)</f>
        <v>15990784</v>
      </c>
      <c r="E35" s="62" t="n">
        <f aca="false">INDEX(Arch!$C$30:$E$30,E$7)</f>
        <v>4915200</v>
      </c>
      <c r="F35" s="62" t="n">
        <f aca="false">INDEX(Arch!$C$30:$E$30,F$7)</f>
        <v>5636096</v>
      </c>
      <c r="G35" s="62" t="n">
        <f aca="false">INDEX(Arch!$C$30:$E$30,G$7)</f>
        <v>15990784</v>
      </c>
      <c r="H35" s="62" t="n">
        <f aca="false">INDEX(Arch!$C$30:$E$30,H$7)</f>
        <v>4915200</v>
      </c>
      <c r="I35" s="62" t="n">
        <f aca="false">INDEX(Arch!$C$30:$E$30,I$7)</f>
        <v>5636096</v>
      </c>
      <c r="J35" s="62" t="n">
        <f aca="false">INDEX(Arch!$C$30:$E$30,J$7)</f>
        <v>15990784</v>
      </c>
      <c r="K35" s="62" t="n">
        <f aca="false">INDEX(Arch!$C$30:$E$30,K$7)</f>
        <v>4915200</v>
      </c>
      <c r="L35" s="62" t="n">
        <f aca="false">INDEX(Arch!$C$30:$E$30,L$7)</f>
        <v>5636096</v>
      </c>
      <c r="M35" s="62" t="n">
        <f aca="false">INDEX(Arch!$C$30:$E$30,M$7)</f>
        <v>15990784</v>
      </c>
      <c r="N35" s="62" t="n">
        <f aca="false">INDEX(Arch!$C$30:$E$30,N$7)</f>
        <v>4915200</v>
      </c>
      <c r="O35" s="62" t="n">
        <f aca="false">INDEX(Arch!$C$30:$E$30,O$7)</f>
        <v>5636096</v>
      </c>
      <c r="P35" s="62" t="n">
        <f aca="false">INDEX(Arch!$C$30:$E$30,P$7)</f>
        <v>15990784</v>
      </c>
      <c r="Q35" s="62" t="n">
        <f aca="false">INDEX(Arch!$C$30:$E$30,Q$7)</f>
        <v>4915200</v>
      </c>
      <c r="R35" s="62" t="n">
        <f aca="false">INDEX(Arch!$C$30:$E$30,R$7)</f>
        <v>15990784</v>
      </c>
      <c r="S35" s="62" t="n">
        <f aca="false">INDEX(Arch!$C$30:$E$30,S$7)</f>
        <v>4915200</v>
      </c>
    </row>
    <row r="36" customFormat="false" ht="15" hidden="false" customHeight="false" outlineLevel="0" collapsed="false">
      <c r="A36" s="60" t="s">
        <v>289</v>
      </c>
      <c r="B36" s="61" t="s">
        <v>99</v>
      </c>
      <c r="C36" s="64" t="n">
        <f aca="false">INDEX(Arch!$C$16:$E$16,C$7)</f>
        <v>0.512</v>
      </c>
      <c r="D36" s="64" t="n">
        <f aca="false">INDEX(Arch!$C$16:$E$16,D$7)</f>
        <v>0.492</v>
      </c>
      <c r="E36" s="64" t="n">
        <f aca="false">INDEX(Arch!$C$16:$E$16,E$7)</f>
        <v>1</v>
      </c>
      <c r="F36" s="64" t="n">
        <f aca="false">INDEX(Arch!$C$16:$E$16,F$7)</f>
        <v>0.512</v>
      </c>
      <c r="G36" s="64" t="n">
        <f aca="false">INDEX(Arch!$C$16:$E$16,G$7)</f>
        <v>0.492</v>
      </c>
      <c r="H36" s="64" t="n">
        <f aca="false">INDEX(Arch!$C$16:$E$16,H$7)</f>
        <v>1</v>
      </c>
      <c r="I36" s="64" t="n">
        <f aca="false">INDEX(Arch!$C$16:$E$16,I$7)</f>
        <v>0.512</v>
      </c>
      <c r="J36" s="64" t="n">
        <f aca="false">INDEX(Arch!$C$16:$E$16,J$7)</f>
        <v>0.492</v>
      </c>
      <c r="K36" s="64" t="n">
        <f aca="false">INDEX(Arch!$C$16:$E$16,K$7)</f>
        <v>1</v>
      </c>
      <c r="L36" s="64" t="n">
        <f aca="false">INDEX(Arch!$C$16:$E$16,L$7)</f>
        <v>0.512</v>
      </c>
      <c r="M36" s="64" t="n">
        <f aca="false">INDEX(Arch!$C$16:$E$16,M$7)</f>
        <v>0.492</v>
      </c>
      <c r="N36" s="64" t="n">
        <f aca="false">INDEX(Arch!$C$16:$E$16,N$7)</f>
        <v>1</v>
      </c>
      <c r="O36" s="64" t="n">
        <f aca="false">INDEX(Arch!$C$16:$E$16,O$7)</f>
        <v>0.512</v>
      </c>
      <c r="P36" s="64" t="n">
        <f aca="false">INDEX(Arch!$C$16:$E$16,P$7)</f>
        <v>0.492</v>
      </c>
      <c r="Q36" s="64" t="n">
        <f aca="false">INDEX(Arch!$C$16:$E$16,Q$7)</f>
        <v>1</v>
      </c>
      <c r="R36" s="64" t="n">
        <f aca="false">INDEX(Arch!$C$16:$E$16,R$7)</f>
        <v>0.492</v>
      </c>
      <c r="S36" s="64" t="n">
        <f aca="false">INDEX(Arch!$C$16:$E$16,S$7)</f>
        <v>1</v>
      </c>
    </row>
    <row r="37" customFormat="false" ht="15" hidden="false" customHeight="false" outlineLevel="0" collapsed="false">
      <c r="A37" s="60" t="s">
        <v>747</v>
      </c>
      <c r="B37" s="61" t="s">
        <v>292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0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0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0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0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0</v>
      </c>
      <c r="R37" s="62" t="n">
        <f aca="false">INDEX(Arch!$C$17:$E$17,R$7)</f>
        <v>4224</v>
      </c>
      <c r="S37" s="62" t="n">
        <f aca="false">INDEX(Arch!$C$17:$E$17,S$7)</f>
        <v>0</v>
      </c>
    </row>
    <row r="38" customFormat="false" ht="15" hidden="false" customHeight="false" outlineLevel="0" collapsed="false">
      <c r="A38" s="60" t="s">
        <v>294</v>
      </c>
      <c r="B38" s="61" t="s">
        <v>103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</v>
      </c>
      <c r="R38" s="62" t="n">
        <f aca="false">INDEX(Arch!$C$18:$E$18,R$7)</f>
        <v>128</v>
      </c>
      <c r="S38" s="62" t="n">
        <f aca="false">INDEX(Arch!$C$18:$E$18,S$7)</f>
        <v>1</v>
      </c>
    </row>
    <row r="39" customFormat="false" ht="15" hidden="false" customHeight="false" outlineLevel="0" collapsed="false">
      <c r="A39" s="60" t="s">
        <v>296</v>
      </c>
      <c r="B39" s="61" t="s">
        <v>292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0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0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0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0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0</v>
      </c>
      <c r="R39" s="62" t="n">
        <f aca="false">INDEX(Arch!$C$19:$E$19,R$7)</f>
        <v>128</v>
      </c>
      <c r="S39" s="62" t="n">
        <f aca="false">INDEX(Arch!$C$19:$E$19,S$7)</f>
        <v>0</v>
      </c>
    </row>
    <row r="40" customFormat="false" ht="15" hidden="false" customHeight="false" outlineLevel="0" collapsed="false">
      <c r="A40" s="75" t="s">
        <v>748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customFormat="false" ht="15" hidden="false" customHeight="false" outlineLevel="0" collapsed="false">
      <c r="A41" s="61" t="s">
        <v>371</v>
      </c>
      <c r="B41" s="61" t="s">
        <v>372</v>
      </c>
      <c r="C41" s="62" t="n">
        <f aca="false">INDEX(Train_In!$C$31:$E$31,C$7)</f>
        <v>20</v>
      </c>
      <c r="D41" s="62" t="n">
        <f aca="false">INDEX(Train_In!$C$31:$E$31,D$7)</f>
        <v>20</v>
      </c>
      <c r="E41" s="62" t="n">
        <f aca="false">INDEX(Train_In!$C$31:$E$31,E$7)</f>
        <v>20</v>
      </c>
      <c r="F41" s="62" t="n">
        <f aca="false">INDEX(Train_In!$C$31:$E$31,F$7)</f>
        <v>20</v>
      </c>
      <c r="G41" s="62" t="n">
        <f aca="false">INDEX(Train_In!$C$31:$E$31,G$7)</f>
        <v>20</v>
      </c>
      <c r="H41" s="62" t="n">
        <f aca="false">INDEX(Train_In!$C$31:$E$31,H$7)</f>
        <v>20</v>
      </c>
      <c r="I41" s="62" t="n">
        <f aca="false">INDEX(Train_In!$C$31:$E$31,I$7)</f>
        <v>20</v>
      </c>
      <c r="J41" s="62" t="n">
        <f aca="false">INDEX(Train_In!$C$31:$E$31,J$7)</f>
        <v>20</v>
      </c>
      <c r="K41" s="62" t="n">
        <f aca="false">INDEX(Train_In!$C$31:$E$31,K$7)</f>
        <v>20</v>
      </c>
      <c r="L41" s="62" t="n">
        <f aca="false">INDEX(Train_In!$C$31:$E$31,L$7)</f>
        <v>20</v>
      </c>
      <c r="M41" s="62" t="n">
        <f aca="false">INDEX(Train_In!$C$31:$E$31,M$7)</f>
        <v>20</v>
      </c>
      <c r="N41" s="62" t="n">
        <f aca="false">INDEX(Train_In!$C$31:$E$31,N$7)</f>
        <v>20</v>
      </c>
      <c r="O41" s="62" t="n">
        <f aca="false">INDEX(Train_In!$C$31:$E$31,O$7)</f>
        <v>20</v>
      </c>
      <c r="P41" s="62" t="n">
        <f aca="false">INDEX(Train_In!$C$31:$E$31,P$7)</f>
        <v>20</v>
      </c>
      <c r="Q41" s="62" t="n">
        <f aca="false">INDEX(Train_In!$C$31:$E$31,Q$7)</f>
        <v>20</v>
      </c>
      <c r="R41" s="62" t="n">
        <f aca="false">INDEX(Train_In!$C$31:$E$31,R$7)</f>
        <v>20</v>
      </c>
      <c r="S41" s="62" t="n">
        <f aca="false">INDEX(Train_In!$C$31:$E$31,S$7)</f>
        <v>20</v>
      </c>
    </row>
    <row r="42" customFormat="false" ht="15" hidden="false" customHeight="false" outlineLevel="0" collapsed="false">
      <c r="A42" s="61" t="s">
        <v>749</v>
      </c>
      <c r="B42" s="61" t="s">
        <v>375</v>
      </c>
      <c r="C42" s="108" t="n">
        <f aca="false">INDEX(Serving!$C$22:$E$22,C$7)</f>
        <v>2</v>
      </c>
      <c r="D42" s="108" t="n">
        <f aca="false">INDEX(Serving!$C$22:$E$22,D$7)</f>
        <v>3</v>
      </c>
      <c r="E42" s="108" t="n">
        <f aca="false">INDEX(Serving!$C$22:$E$22,E$7)</f>
        <v>5</v>
      </c>
      <c r="F42" s="108" t="n">
        <f aca="false">INDEX(Serving!$C$22:$E$22,F$7)</f>
        <v>2</v>
      </c>
      <c r="G42" s="108" t="n">
        <f aca="false">INDEX(Serving!$C$22:$E$22,G$7)</f>
        <v>3</v>
      </c>
      <c r="H42" s="108" t="n">
        <f aca="false">INDEX(Serving!$C$22:$E$22,H$7)</f>
        <v>5</v>
      </c>
      <c r="I42" s="108" t="n">
        <f aca="false">INDEX(Serving!$C$22:$E$22,I$7)</f>
        <v>2</v>
      </c>
      <c r="J42" s="108" t="n">
        <f aca="false">INDEX(Serving!$C$22:$E$22,J$7)</f>
        <v>3</v>
      </c>
      <c r="K42" s="108" t="n">
        <f aca="false">INDEX(Serving!$C$22:$E$22,K$7)</f>
        <v>5</v>
      </c>
      <c r="L42" s="108" t="n">
        <f aca="false">INDEX(Serving!$C$22:$E$22,L$7)</f>
        <v>2</v>
      </c>
      <c r="M42" s="108" t="n">
        <f aca="false">INDEX(Serving!$C$22:$E$22,M$7)</f>
        <v>3</v>
      </c>
      <c r="N42" s="108" t="n">
        <f aca="false">INDEX(Serving!$C$22:$E$22,N$7)</f>
        <v>5</v>
      </c>
      <c r="O42" s="108" t="n">
        <f aca="false">INDEX(Serving!$C$22:$E$22,O$7)</f>
        <v>2</v>
      </c>
      <c r="P42" s="108" t="n">
        <f aca="false">INDEX(Serving!$C$22:$E$22,P$7)</f>
        <v>3</v>
      </c>
      <c r="Q42" s="108" t="n">
        <f aca="false">INDEX(Serving!$C$22:$E$22,Q$7)</f>
        <v>5</v>
      </c>
      <c r="R42" s="108" t="n">
        <f aca="false">INDEX(Serving!$C$22:$E$22,R$7)</f>
        <v>3</v>
      </c>
      <c r="S42" s="108" t="n">
        <f aca="false">INDEX(Serving!$C$22:$E$22,S$7)</f>
        <v>5</v>
      </c>
    </row>
    <row r="43" customFormat="false" ht="15" hidden="false" customHeight="false" outlineLevel="0" collapsed="false">
      <c r="A43" s="60" t="s">
        <v>750</v>
      </c>
      <c r="B43" s="61" t="s">
        <v>292</v>
      </c>
      <c r="C43" s="62" t="n">
        <f aca="false">INDEX(Train_In!$C$32:$E$32,C$7)</f>
        <v>4096</v>
      </c>
      <c r="D43" s="62" t="n">
        <f aca="false">INDEX(Train_In!$C$32:$E$32,D$7)</f>
        <v>8192</v>
      </c>
      <c r="E43" s="62" t="n">
        <f aca="false">INDEX(Train_In!$C$32:$E$32,E$7)</f>
        <v>16384</v>
      </c>
      <c r="F43" s="62" t="n">
        <f aca="false">INDEX(Train_In!$C$32:$E$32,F$7)</f>
        <v>4096</v>
      </c>
      <c r="G43" s="62" t="n">
        <f aca="false">INDEX(Train_In!$C$32:$E$32,G$7)</f>
        <v>8192</v>
      </c>
      <c r="H43" s="62" t="n">
        <f aca="false">INDEX(Train_In!$C$32:$E$32,H$7)</f>
        <v>16384</v>
      </c>
      <c r="I43" s="62" t="n">
        <f aca="false">INDEX(Train_In!$C$32:$E$32,I$7)</f>
        <v>4096</v>
      </c>
      <c r="J43" s="62" t="n">
        <f aca="false">INDEX(Train_In!$C$32:$E$32,J$7)</f>
        <v>8192</v>
      </c>
      <c r="K43" s="62" t="n">
        <f aca="false">INDEX(Train_In!$C$32:$E$32,K$7)</f>
        <v>16384</v>
      </c>
      <c r="L43" s="62" t="n">
        <f aca="false">INDEX(Train_In!$C$32:$E$32,L$7)</f>
        <v>4096</v>
      </c>
      <c r="M43" s="62" t="n">
        <f aca="false">INDEX(Train_In!$C$32:$E$32,M$7)</f>
        <v>8192</v>
      </c>
      <c r="N43" s="62" t="n">
        <f aca="false">INDEX(Train_In!$C$32:$E$32,N$7)</f>
        <v>16384</v>
      </c>
      <c r="O43" s="62" t="n">
        <f aca="false">INDEX(Train_In!$C$32:$E$32,O$7)</f>
        <v>4096</v>
      </c>
      <c r="P43" s="62" t="n">
        <f aca="false">INDEX(Train_In!$C$32:$E$32,P$7)</f>
        <v>8192</v>
      </c>
      <c r="Q43" s="62" t="n">
        <f aca="false">INDEX(Train_In!$C$32:$E$32,Q$7)</f>
        <v>16384</v>
      </c>
      <c r="R43" s="62" t="n">
        <f aca="false">INDEX(Train_In!$C$32:$E$32,R$7)</f>
        <v>8192</v>
      </c>
      <c r="S43" s="62" t="n">
        <f aca="false">INDEX(Train_In!$C$32:$E$32,S$7)</f>
        <v>16384</v>
      </c>
    </row>
    <row r="44" customFormat="false" ht="15" hidden="false" customHeight="false" outlineLevel="0" collapsed="false">
      <c r="A44" s="60" t="s">
        <v>378</v>
      </c>
      <c r="B44" s="61" t="s">
        <v>292</v>
      </c>
      <c r="C44" s="62" t="n">
        <f aca="false">INDEX(Train_In!$C$33:$E$33,C$7)</f>
        <v>8192</v>
      </c>
      <c r="D44" s="62" t="n">
        <f aca="false">INDEX(Train_In!$C$33:$E$33,D$7)</f>
        <v>16384</v>
      </c>
      <c r="E44" s="62" t="n">
        <f aca="false">INDEX(Train_In!$C$33:$E$33,E$7)</f>
        <v>32768</v>
      </c>
      <c r="F44" s="62" t="n">
        <f aca="false">INDEX(Train_In!$C$33:$E$33,F$7)</f>
        <v>8192</v>
      </c>
      <c r="G44" s="62" t="n">
        <f aca="false">INDEX(Train_In!$C$33:$E$33,G$7)</f>
        <v>16384</v>
      </c>
      <c r="H44" s="62" t="n">
        <f aca="false">INDEX(Train_In!$C$33:$E$33,H$7)</f>
        <v>32768</v>
      </c>
      <c r="I44" s="62" t="n">
        <f aca="false">INDEX(Train_In!$C$33:$E$33,I$7)</f>
        <v>8192</v>
      </c>
      <c r="J44" s="62" t="n">
        <f aca="false">INDEX(Train_In!$C$33:$E$33,J$7)</f>
        <v>16384</v>
      </c>
      <c r="K44" s="62" t="n">
        <f aca="false">INDEX(Train_In!$C$33:$E$33,K$7)</f>
        <v>32768</v>
      </c>
      <c r="L44" s="62" t="n">
        <f aca="false">INDEX(Train_In!$C$33:$E$33,L$7)</f>
        <v>8192</v>
      </c>
      <c r="M44" s="62" t="n">
        <f aca="false">INDEX(Train_In!$C$33:$E$33,M$7)</f>
        <v>16384</v>
      </c>
      <c r="N44" s="62" t="n">
        <f aca="false">INDEX(Train_In!$C$33:$E$33,N$7)</f>
        <v>32768</v>
      </c>
      <c r="O44" s="62" t="n">
        <f aca="false">INDEX(Train_In!$C$33:$E$33,O$7)</f>
        <v>8192</v>
      </c>
      <c r="P44" s="62" t="n">
        <f aca="false">INDEX(Train_In!$C$33:$E$33,P$7)</f>
        <v>16384</v>
      </c>
      <c r="Q44" s="62" t="n">
        <f aca="false">INDEX(Train_In!$C$33:$E$33,Q$7)</f>
        <v>32768</v>
      </c>
      <c r="R44" s="62" t="n">
        <f aca="false">INDEX(Train_In!$C$33:$E$33,R$7)</f>
        <v>16384</v>
      </c>
      <c r="S44" s="62" t="n">
        <f aca="false">INDEX(Train_In!$C$33:$E$33,S$7)</f>
        <v>32768</v>
      </c>
    </row>
    <row r="45" customFormat="false" ht="15" hidden="false" customHeight="false" outlineLevel="0" collapsed="false">
      <c r="A45" s="61" t="s">
        <v>379</v>
      </c>
      <c r="B45" s="61" t="s">
        <v>292</v>
      </c>
      <c r="C45" s="67" t="n">
        <f aca="false">C43+C44/2</f>
        <v>8192</v>
      </c>
      <c r="D45" s="67" t="n">
        <f aca="false">D43+D44/2</f>
        <v>16384</v>
      </c>
      <c r="E45" s="67" t="n">
        <f aca="false">E43+E44/2</f>
        <v>32768</v>
      </c>
      <c r="F45" s="67" t="n">
        <f aca="false">F43+F44/2</f>
        <v>8192</v>
      </c>
      <c r="G45" s="67" t="n">
        <f aca="false">G43+G44/2</f>
        <v>16384</v>
      </c>
      <c r="H45" s="67" t="n">
        <f aca="false">H43+H44/2</f>
        <v>32768</v>
      </c>
      <c r="I45" s="67" t="n">
        <f aca="false">I43+I44/2</f>
        <v>8192</v>
      </c>
      <c r="J45" s="67" t="n">
        <f aca="false">J43+J44/2</f>
        <v>16384</v>
      </c>
      <c r="K45" s="67" t="n">
        <f aca="false">K43+K44/2</f>
        <v>32768</v>
      </c>
      <c r="L45" s="67" t="n">
        <f aca="false">L43+L44/2</f>
        <v>8192</v>
      </c>
      <c r="M45" s="67" t="n">
        <f aca="false">M43+M44/2</f>
        <v>16384</v>
      </c>
      <c r="N45" s="67" t="n">
        <f aca="false">N43+N44/2</f>
        <v>32768</v>
      </c>
      <c r="O45" s="67" t="n">
        <f aca="false">O43+O44/2</f>
        <v>8192</v>
      </c>
      <c r="P45" s="67" t="n">
        <f aca="false">P43+P44/2</f>
        <v>16384</v>
      </c>
      <c r="Q45" s="67" t="n">
        <f aca="false">Q43+Q44/2</f>
        <v>32768</v>
      </c>
      <c r="R45" s="67" t="n">
        <f aca="false">R43+R44/2</f>
        <v>16384</v>
      </c>
      <c r="S45" s="67" t="n">
        <f aca="false">S43+S44/2</f>
        <v>32768</v>
      </c>
    </row>
    <row r="46" customFormat="false" ht="15" hidden="false" customHeight="false" outlineLevel="0" collapsed="false">
      <c r="A46" s="61" t="s">
        <v>380</v>
      </c>
      <c r="B46" s="61" t="s">
        <v>292</v>
      </c>
      <c r="C46" s="67" t="n">
        <f aca="false">C43/2</f>
        <v>2048</v>
      </c>
      <c r="D46" s="67" t="n">
        <f aca="false">D43/2</f>
        <v>4096</v>
      </c>
      <c r="E46" s="67" t="n">
        <f aca="false">E43/2</f>
        <v>8192</v>
      </c>
      <c r="F46" s="67" t="n">
        <f aca="false">F43/2</f>
        <v>2048</v>
      </c>
      <c r="G46" s="67" t="n">
        <f aca="false">G43/2</f>
        <v>4096</v>
      </c>
      <c r="H46" s="67" t="n">
        <f aca="false">H43/2</f>
        <v>8192</v>
      </c>
      <c r="I46" s="67" t="n">
        <f aca="false">I43/2</f>
        <v>2048</v>
      </c>
      <c r="J46" s="67" t="n">
        <f aca="false">J43/2</f>
        <v>4096</v>
      </c>
      <c r="K46" s="67" t="n">
        <f aca="false">K43/2</f>
        <v>8192</v>
      </c>
      <c r="L46" s="67" t="n">
        <f aca="false">L43/2</f>
        <v>2048</v>
      </c>
      <c r="M46" s="67" t="n">
        <f aca="false">M43/2</f>
        <v>4096</v>
      </c>
      <c r="N46" s="67" t="n">
        <f aca="false">N43/2</f>
        <v>8192</v>
      </c>
      <c r="O46" s="67" t="n">
        <f aca="false">O43/2</f>
        <v>2048</v>
      </c>
      <c r="P46" s="67" t="n">
        <f aca="false">P43/2</f>
        <v>4096</v>
      </c>
      <c r="Q46" s="67" t="n">
        <f aca="false">Q43/2</f>
        <v>8192</v>
      </c>
      <c r="R46" s="67" t="n">
        <f aca="false">R43/2</f>
        <v>4096</v>
      </c>
      <c r="S46" s="67" t="n">
        <f aca="false">S43/2</f>
        <v>8192</v>
      </c>
    </row>
    <row r="47" customFormat="false" ht="15" hidden="false" customHeight="false" outlineLevel="0" collapsed="false">
      <c r="A47" s="61" t="s">
        <v>751</v>
      </c>
      <c r="B47" s="61" t="s">
        <v>292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</row>
    <row r="48" customFormat="false" ht="15" hidden="false" customHeight="false" outlineLevel="0" collapsed="false">
      <c r="A48" s="60" t="s">
        <v>752</v>
      </c>
      <c r="B48" s="61" t="s">
        <v>99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  <c r="R48" s="64" t="n">
        <f aca="false">Serving!$C$7</f>
        <v>0.7</v>
      </c>
      <c r="S48" s="64" t="n">
        <f aca="false">Serving!$C$7</f>
        <v>0.7</v>
      </c>
    </row>
    <row r="49" customFormat="false" ht="15" hidden="false" customHeight="false" outlineLevel="0" collapsed="false">
      <c r="A49" s="60" t="s">
        <v>753</v>
      </c>
      <c r="B49" s="61" t="s">
        <v>292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2.533</v>
      </c>
    </row>
    <row r="50" customFormat="false" ht="15" hidden="false" customHeight="false" outlineLevel="0" collapsed="false">
      <c r="A50" s="60" t="s">
        <v>367</v>
      </c>
      <c r="B50" s="61" t="s">
        <v>103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1" t="s">
        <v>754</v>
      </c>
      <c r="B51" s="61" t="s">
        <v>99</v>
      </c>
      <c r="C51" s="109" t="n">
        <f aca="false">INDEX(Calib!$C$72:$G$72,C$6)*C50</f>
        <v>0.149924204143507</v>
      </c>
      <c r="D51" s="109" t="n">
        <f aca="false">INDEX(Calib!$C$72:$G$72,D$6)*D50</f>
        <v>0.149924204143507</v>
      </c>
      <c r="E51" s="109" t="n">
        <f aca="false">INDEX(Calib!$C$72:$G$72,E$6)*E50</f>
        <v>0.149924204143507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  <c r="R51" s="109" t="n">
        <f aca="false">INDEX(Calib!$C$72:$G$72,R$6)*R50</f>
        <v>0.3</v>
      </c>
      <c r="S51" s="109" t="n">
        <f aca="false">INDEX(Calib!$C$72:$G$72,S$6)*S50</f>
        <v>0.3</v>
      </c>
    </row>
    <row r="52" customFormat="false" ht="15" hidden="false" customHeight="false" outlineLevel="0" collapsed="false">
      <c r="A52" s="61" t="s">
        <v>755</v>
      </c>
      <c r="B52" s="61" t="s">
        <v>103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1" t="s">
        <v>756</v>
      </c>
      <c r="B53" s="61" t="s">
        <v>99</v>
      </c>
      <c r="C53" s="110" t="n">
        <f aca="false">INDEX(Calib!$C$70:$G$70,C$6)*C52*C50*INDEX(CAL_BatchEtaD,1,C$6)</f>
        <v>0.0429060401998604</v>
      </c>
      <c r="D53" s="110" t="n">
        <f aca="false">INDEX(Calib!$C$70:$G$70,D$6)*D52*D50*INDEX(CAL_BatchEtaD,1,D$6)</f>
        <v>0.0429060401998604</v>
      </c>
      <c r="E53" s="110" t="n">
        <f aca="false">INDEX(Calib!$C$70:$G$70,E$6)*E52*E50*INDEX(CAL_BatchEtaD,1,E$6)</f>
        <v>0.0429060401998604</v>
      </c>
      <c r="F53" s="110" t="n">
        <f aca="false">INDEX(Calib!$C$70:$G$70,F$6)*F52*F50*INDEX(CAL_BatchEtaD,1,F$6)</f>
        <v>0.0357550334998836</v>
      </c>
      <c r="G53" s="110" t="n">
        <f aca="false">INDEX(Calib!$C$70:$G$70,G$6)*G52*G50*INDEX(CAL_BatchEtaD,1,G$6)</f>
        <v>0.0357550334998836</v>
      </c>
      <c r="H53" s="110" t="n">
        <f aca="false">INDEX(Calib!$C$70:$G$70,H$6)*H52*H50*INDEX(CAL_BatchEtaD,1,H$6)</f>
        <v>0.0357550334998836</v>
      </c>
      <c r="I53" s="110" t="n">
        <f aca="false">INDEX(Calib!$C$70:$G$70,I$6)*I52*I50*INDEX(CAL_BatchEtaD,1,I$6)</f>
        <v>0.0357550334998836</v>
      </c>
      <c r="J53" s="110" t="n">
        <f aca="false">INDEX(Calib!$C$70:$G$70,J$6)*J52*J50*INDEX(CAL_BatchEtaD,1,J$6)</f>
        <v>0.0357550334998836</v>
      </c>
      <c r="K53" s="110" t="n">
        <f aca="false">INDEX(Calib!$C$70:$G$70,K$6)*K52*K50*INDEX(CAL_BatchEtaD,1,K$6)</f>
        <v>0.0357550334998836</v>
      </c>
      <c r="L53" s="110" t="n">
        <f aca="false">INDEX(Calib!$C$70:$G$70,L$6)*L52*L50*INDEX(CAL_BatchEtaD,1,L$6)</f>
        <v>0.0268162751249127</v>
      </c>
      <c r="M53" s="110" t="n">
        <f aca="false">INDEX(Calib!$C$70:$G$70,M$6)*M52*M50*INDEX(CAL_BatchEtaD,1,M$6)</f>
        <v>0.0268162751249127</v>
      </c>
      <c r="N53" s="110" t="n">
        <f aca="false">INDEX(Calib!$C$70:$G$70,N$6)*N52*N50*INDEX(CAL_BatchEtaD,1,N$6)</f>
        <v>0.0268162751249127</v>
      </c>
      <c r="O53" s="110" t="n">
        <f aca="false">INDEX(Calib!$C$70:$G$70,O$6)*O52*O50*INDEX(CAL_BatchEtaD,1,O$6)</f>
        <v>0.0357550334998836</v>
      </c>
      <c r="P53" s="110" t="n">
        <f aca="false">INDEX(Calib!$C$70:$G$70,P$6)*P52*P50*INDEX(CAL_BatchEtaD,1,P$6)</f>
        <v>0.0357550334998836</v>
      </c>
      <c r="Q53" s="110" t="n">
        <f aca="false">INDEX(Calib!$C$70:$G$70,Q$6)*Q52*Q50*INDEX(CAL_BatchEtaD,1,Q$6)</f>
        <v>0.0357550334998836</v>
      </c>
      <c r="R53" s="110" t="n">
        <f aca="false">INDEX(Calib!$C$70:$G$70,R$6)*R52*R50</f>
        <v>0.0357550334998836</v>
      </c>
      <c r="S53" s="110" t="n">
        <f aca="false">INDEX(Calib!$C$70:$G$70,S$6)*S52*S50</f>
        <v>0.0357550334998836</v>
      </c>
    </row>
    <row r="54" customFormat="false" ht="15" hidden="false" customHeight="false" outlineLevel="0" collapsed="false">
      <c r="A54" s="60" t="s">
        <v>757</v>
      </c>
      <c r="B54" s="61" t="s">
        <v>103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0" t="s">
        <v>758</v>
      </c>
      <c r="B55" s="61" t="s">
        <v>514</v>
      </c>
      <c r="C55" s="62" t="n">
        <f aca="false">INDEX(Calib!$C$71:$G$71,C$6)*C54/C50</f>
        <v>241.778007200547</v>
      </c>
      <c r="D55" s="62" t="n">
        <f aca="false">INDEX(Calib!$C$71:$G$71,D$6)*D54/D50</f>
        <v>241.778007200547</v>
      </c>
      <c r="E55" s="62" t="n">
        <f aca="false">INDEX(Calib!$C$71:$G$71,E$6)*E54/E50</f>
        <v>241.778007200547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161.185338133698</v>
      </c>
      <c r="J55" s="62" t="n">
        <f aca="false">INDEX(Calib!$C$71:$G$71,J$6)*J54/J50</f>
        <v>161.185338133698</v>
      </c>
      <c r="K55" s="62" t="n">
        <f aca="false">INDEX(Calib!$C$71:$G$71,K$6)*K54/K50</f>
        <v>161.185338133698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  <c r="R55" s="62" t="n">
        <f aca="false">INDEX(Calib!$C$71:$G$71,R$6)*R54/R50</f>
        <v>161.185338133698</v>
      </c>
      <c r="S55" s="62" t="n">
        <f aca="false">INDEX(Calib!$C$71:$G$71,S$6)*S54/S50</f>
        <v>161.185338133698</v>
      </c>
    </row>
    <row r="56" customFormat="false" ht="15" hidden="false" customHeight="false" outlineLevel="0" collapsed="false">
      <c r="A56" s="61" t="s">
        <v>759</v>
      </c>
      <c r="B56" s="61" t="s">
        <v>99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  <c r="R56" s="64" t="n">
        <f aca="false">Serving!$C$9</f>
        <v>0.1</v>
      </c>
      <c r="S56" s="64" t="n">
        <f aca="false">Serving!$C$9</f>
        <v>0.1</v>
      </c>
    </row>
    <row r="57" customFormat="false" ht="15" hidden="false" customHeight="false" outlineLevel="0" collapsed="false">
      <c r="A57" s="60" t="s">
        <v>760</v>
      </c>
      <c r="B57" s="61" t="s">
        <v>99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  <c r="R57" s="64" t="n">
        <f aca="false">Serving!$C$10</f>
        <v>0.2</v>
      </c>
      <c r="S57" s="64" t="n">
        <f aca="false">Serving!$C$10</f>
        <v>0.2</v>
      </c>
    </row>
    <row r="58" customFormat="false" ht="15" hidden="false" customHeight="false" outlineLevel="0" collapsed="false">
      <c r="A58" s="60" t="s">
        <v>761</v>
      </c>
      <c r="B58" s="61" t="s">
        <v>99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  <c r="R58" s="64" t="n">
        <f aca="false">Serving!$C$11</f>
        <v>0.4</v>
      </c>
      <c r="S58" s="64" t="n">
        <f aca="false">Serving!$C$11</f>
        <v>0.4</v>
      </c>
    </row>
    <row r="59" customFormat="false" ht="15" hidden="false" customHeight="false" outlineLevel="0" collapsed="false">
      <c r="A59" s="61" t="s">
        <v>762</v>
      </c>
      <c r="B59" s="61" t="s">
        <v>271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  <c r="R59" s="108" t="n">
        <f aca="false">Serving!$C$12</f>
        <v>3</v>
      </c>
      <c r="S59" s="108" t="n">
        <f aca="false">Serving!$C$12</f>
        <v>3</v>
      </c>
    </row>
    <row r="60" customFormat="false" ht="15" hidden="false" customHeight="false" outlineLevel="0" collapsed="false">
      <c r="A60" s="61" t="s">
        <v>763</v>
      </c>
      <c r="B60" s="61" t="s">
        <v>99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  <c r="R60" s="64" t="n">
        <f aca="false">Serving!$C$13</f>
        <v>0.7</v>
      </c>
      <c r="S60" s="64" t="n">
        <f aca="false">Serving!$C$13</f>
        <v>0.7</v>
      </c>
    </row>
    <row r="61" customFormat="false" ht="15" hidden="false" customHeight="false" outlineLevel="0" collapsed="false">
      <c r="A61" s="61" t="s">
        <v>764</v>
      </c>
      <c r="B61" s="61" t="s">
        <v>99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  <c r="R61" s="64" t="n">
        <f aca="false">Serving!$C$14</f>
        <v>0.7</v>
      </c>
      <c r="S61" s="64" t="n">
        <f aca="false">Serving!$C$14</f>
        <v>0.7</v>
      </c>
    </row>
    <row r="62" customFormat="false" ht="15" hidden="false" customHeight="false" outlineLevel="0" collapsed="false">
      <c r="A62" s="60" t="s">
        <v>765</v>
      </c>
      <c r="B62" s="61" t="s">
        <v>479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</row>
    <row r="63" customFormat="false" ht="15" hidden="false" customHeight="false" outlineLevel="0" collapsed="false">
      <c r="A63" s="75" t="s">
        <v>766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15" hidden="false" customHeight="false" outlineLevel="0" collapsed="false">
      <c r="A64" s="61" t="s">
        <v>767</v>
      </c>
      <c r="B64" s="61" t="s">
        <v>292</v>
      </c>
      <c r="C64" s="67" t="n">
        <f aca="false">C36*IF(C37=0,C45,MIN(C45,C37))+(1-C36)*(C45/C38+C39)</f>
        <v>2256.384</v>
      </c>
      <c r="D64" s="67" t="n">
        <f aca="false">D36*IF(D37=0,D45,MIN(D45,D37))+(1-D36)*(D45/D38+D39)</f>
        <v>2208.256</v>
      </c>
      <c r="E64" s="67" t="n">
        <f aca="false">E36*IF(E37=0,E45,MIN(E45,E37))+(1-E36)*(E45/E38+E39)</f>
        <v>32768</v>
      </c>
      <c r="F64" s="67" t="n">
        <f aca="false">F36*IF(F37=0,F45,MIN(F45,F37))+(1-F36)*(F45/F38+F39)</f>
        <v>2256.384</v>
      </c>
      <c r="G64" s="67" t="n">
        <f aca="false">G36*IF(G37=0,G45,MIN(G45,G37))+(1-G36)*(G45/G38+G39)</f>
        <v>2208.256</v>
      </c>
      <c r="H64" s="67" t="n">
        <f aca="false">H36*IF(H37=0,H45,MIN(H45,H37))+(1-H36)*(H45/H38+H39)</f>
        <v>32768</v>
      </c>
      <c r="I64" s="67" t="n">
        <f aca="false">I36*IF(I37=0,I45,MIN(I45,I37))+(1-I36)*(I45/I38+I39)</f>
        <v>2256.384</v>
      </c>
      <c r="J64" s="67" t="n">
        <f aca="false">J36*IF(J37=0,J45,MIN(J45,J37))+(1-J36)*(J45/J38+J39)</f>
        <v>2208.256</v>
      </c>
      <c r="K64" s="67" t="n">
        <f aca="false">K36*IF(K37=0,K45,MIN(K45,K37))+(1-K36)*(K45/K38+K39)</f>
        <v>32768</v>
      </c>
      <c r="L64" s="67" t="n">
        <f aca="false">L36*IF(L37=0,L45,MIN(L45,L37))+(1-L36)*(L45/L38+L39)</f>
        <v>2256.384</v>
      </c>
      <c r="M64" s="67" t="n">
        <f aca="false">M36*IF(M37=0,M45,MIN(M45,M37))+(1-M36)*(M45/M38+M39)</f>
        <v>2208.256</v>
      </c>
      <c r="N64" s="67" t="n">
        <f aca="false">N36*IF(N37=0,N45,MIN(N45,N37))+(1-N36)*(N45/N38+N39)</f>
        <v>32768</v>
      </c>
      <c r="O64" s="67" t="n">
        <f aca="false">O36*IF(O37=0,O45,MIN(O45,O37))+(1-O36)*(O45/O38+O39)</f>
        <v>2256.384</v>
      </c>
      <c r="P64" s="67" t="n">
        <f aca="false">P36*IF(P37=0,P45,MIN(P45,P37))+(1-P36)*(P45/P38+P39)</f>
        <v>2208.256</v>
      </c>
      <c r="Q64" s="67" t="n">
        <f aca="false">Q36*IF(Q37=0,Q45,MIN(Q45,Q37))+(1-Q36)*(Q45/Q38+Q39)</f>
        <v>32768</v>
      </c>
      <c r="R64" s="67" t="n">
        <f aca="false">R36*IF(R37=0,R45,MIN(R45,R37))+(1-R36)*(R45/R38+R39)</f>
        <v>2208.256</v>
      </c>
      <c r="S64" s="67" t="n">
        <f aca="false">S36*IF(S37=0,S45,MIN(S45,S37))+(1-S36)*(S45/S38+S39)</f>
        <v>32768</v>
      </c>
    </row>
    <row r="65" customFormat="false" ht="15" hidden="false" customHeight="false" outlineLevel="0" collapsed="false">
      <c r="A65" s="61" t="s">
        <v>492</v>
      </c>
      <c r="B65" s="61" t="s">
        <v>493</v>
      </c>
      <c r="C65" s="74" t="n">
        <f aca="false">(2*C28*1000000000+C35*C64)*C10/1000000000</f>
        <v>38.717196836864</v>
      </c>
      <c r="D65" s="74" t="n">
        <f aca="false">(2*D28*1000000000+D35*D64)*D10/1000000000</f>
        <v>133.311744712704</v>
      </c>
      <c r="E65" s="74" t="n">
        <f aca="false">(2*E28*1000000000+E35*E64)*E10/1000000000</f>
        <v>521.0612736</v>
      </c>
      <c r="F65" s="74" t="n">
        <f aca="false">(2*F28*1000000000+F35*F64)*F10/1000000000</f>
        <v>38.717196836864</v>
      </c>
      <c r="G65" s="74" t="n">
        <f aca="false">(2*G28*1000000000+G35*G64)*G10/1000000000</f>
        <v>133.311744712704</v>
      </c>
      <c r="H65" s="74" t="n">
        <f aca="false">(2*H28*1000000000+H35*H64)*H10/1000000000</f>
        <v>521.0612736</v>
      </c>
      <c r="I65" s="74" t="n">
        <f aca="false">(2*I28*1000000000+I35*I64)*I10/1000000000</f>
        <v>38.717196836864</v>
      </c>
      <c r="J65" s="74" t="n">
        <f aca="false">(2*J28*1000000000+J35*J64)*J10/1000000000</f>
        <v>133.311744712704</v>
      </c>
      <c r="K65" s="74" t="n">
        <f aca="false">(2*K28*1000000000+K35*K64)*K10/1000000000</f>
        <v>521.0612736</v>
      </c>
      <c r="L65" s="74" t="n">
        <f aca="false">(2*L28*1000000000+L35*L64)*L10/1000000000</f>
        <v>38.717196836864</v>
      </c>
      <c r="M65" s="74" t="n">
        <f aca="false">(2*M28*1000000000+M35*M64)*M10/1000000000</f>
        <v>133.311744712704</v>
      </c>
      <c r="N65" s="74" t="n">
        <f aca="false">(2*N28*1000000000+N35*N64)*N10/1000000000</f>
        <v>521.0612736</v>
      </c>
      <c r="O65" s="74" t="n">
        <f aca="false">(2*O28*1000000000+O35*O64)*O10/1000000000</f>
        <v>38.717196836864</v>
      </c>
      <c r="P65" s="74" t="n">
        <f aca="false">(2*P28*1000000000+P35*P64)*P10/1000000000</f>
        <v>133.311744712704</v>
      </c>
      <c r="Q65" s="74" t="n">
        <f aca="false">(2*Q28*1000000000+Q35*Q64)*Q10/1000000000</f>
        <v>521.0612736</v>
      </c>
      <c r="R65" s="74" t="n">
        <f aca="false">(2*R28*1000000000+R35*R64)*R10/1000000000</f>
        <v>133.311744712704</v>
      </c>
      <c r="S65" s="74" t="n">
        <f aca="false">(2*S28*1000000000+S35*S64)*S10/1000000000</f>
        <v>521.0612736</v>
      </c>
    </row>
    <row r="66" customFormat="false" ht="15" hidden="false" customHeight="false" outlineLevel="0" collapsed="false">
      <c r="A66" s="61" t="s">
        <v>768</v>
      </c>
      <c r="B66" s="61" t="s">
        <v>292</v>
      </c>
      <c r="C66" s="67" t="n">
        <f aca="false">C36*IF(C37=0,C46,MIN(C46,C37))+(1-C36)*(C46/C38+C39)</f>
        <v>1118.848</v>
      </c>
      <c r="D66" s="67" t="n">
        <f aca="false">D36*IF(D37=0,D46,MIN(D46,D37))+(1-D36)*(D46/D38+D39)</f>
        <v>2096.512</v>
      </c>
      <c r="E66" s="67" t="n">
        <f aca="false">E36*IF(E37=0,E46,MIN(E46,E37))+(1-E36)*(E46/E38+E39)</f>
        <v>8192</v>
      </c>
      <c r="F66" s="67" t="n">
        <f aca="false">F36*IF(F37=0,F46,MIN(F46,F37))+(1-F36)*(F46/F38+F39)</f>
        <v>1118.848</v>
      </c>
      <c r="G66" s="67" t="n">
        <f aca="false">G36*IF(G37=0,G46,MIN(G46,G37))+(1-G36)*(G46/G38+G39)</f>
        <v>2096.512</v>
      </c>
      <c r="H66" s="67" t="n">
        <f aca="false">H36*IF(H37=0,H46,MIN(H46,H37))+(1-H36)*(H46/H38+H39)</f>
        <v>8192</v>
      </c>
      <c r="I66" s="67" t="n">
        <f aca="false">I36*IF(I37=0,I46,MIN(I46,I37))+(1-I36)*(I46/I38+I39)</f>
        <v>1118.848</v>
      </c>
      <c r="J66" s="67" t="n">
        <f aca="false">J36*IF(J37=0,J46,MIN(J46,J37))+(1-J36)*(J46/J38+J39)</f>
        <v>2096.512</v>
      </c>
      <c r="K66" s="67" t="n">
        <f aca="false">K36*IF(K37=0,K46,MIN(K46,K37))+(1-K36)*(K46/K38+K39)</f>
        <v>8192</v>
      </c>
      <c r="L66" s="67" t="n">
        <f aca="false">L36*IF(L37=0,L46,MIN(L46,L37))+(1-L36)*(L46/L38+L39)</f>
        <v>1118.848</v>
      </c>
      <c r="M66" s="67" t="n">
        <f aca="false">M36*IF(M37=0,M46,MIN(M46,M37))+(1-M36)*(M46/M38+M39)</f>
        <v>2096.512</v>
      </c>
      <c r="N66" s="67" t="n">
        <f aca="false">N36*IF(N37=0,N46,MIN(N46,N37))+(1-N36)*(N46/N38+N39)</f>
        <v>8192</v>
      </c>
      <c r="O66" s="67" t="n">
        <f aca="false">O36*IF(O37=0,O46,MIN(O46,O37))+(1-O36)*(O46/O38+O39)</f>
        <v>1118.848</v>
      </c>
      <c r="P66" s="67" t="n">
        <f aca="false">P36*IF(P37=0,P46,MIN(P46,P37))+(1-P36)*(P46/P38+P39)</f>
        <v>2096.512</v>
      </c>
      <c r="Q66" s="67" t="n">
        <f aca="false">Q36*IF(Q37=0,Q46,MIN(Q46,Q37))+(1-Q36)*(Q46/Q38+Q39)</f>
        <v>8192</v>
      </c>
      <c r="R66" s="67" t="n">
        <f aca="false">R36*IF(R37=0,R46,MIN(R46,R37))+(1-R36)*(R46/R38+R39)</f>
        <v>2096.512</v>
      </c>
      <c r="S66" s="67" t="n">
        <f aca="false">S36*IF(S37=0,S46,MIN(S46,S37))+(1-S36)*(S46/S38+S39)</f>
        <v>8192</v>
      </c>
    </row>
    <row r="67" customFormat="false" ht="15" hidden="false" customHeight="false" outlineLevel="0" collapsed="false">
      <c r="A67" s="61" t="s">
        <v>495</v>
      </c>
      <c r="B67" s="61" t="s">
        <v>493</v>
      </c>
      <c r="C67" s="74" t="n">
        <f aca="false">(2*C28*1000000000+C35*C66)*C10/1000000000</f>
        <v>32.305934737408</v>
      </c>
      <c r="D67" s="74" t="n">
        <f aca="false">(2*D28*1000000000+D35*D66)*D10/1000000000</f>
        <v>131.524870545408</v>
      </c>
      <c r="E67" s="74" t="n">
        <f aca="false">(2*E28*1000000000+E35*E66)*E10/1000000000</f>
        <v>400.2653184</v>
      </c>
      <c r="F67" s="74" t="n">
        <f aca="false">(2*F28*1000000000+F35*F66)*F10/1000000000</f>
        <v>32.305934737408</v>
      </c>
      <c r="G67" s="74" t="n">
        <f aca="false">(2*G28*1000000000+G35*G66)*G10/1000000000</f>
        <v>131.524870545408</v>
      </c>
      <c r="H67" s="74" t="n">
        <f aca="false">(2*H28*1000000000+H35*H66)*H10/1000000000</f>
        <v>400.2653184</v>
      </c>
      <c r="I67" s="74" t="n">
        <f aca="false">(2*I28*1000000000+I35*I66)*I10/1000000000</f>
        <v>32.305934737408</v>
      </c>
      <c r="J67" s="74" t="n">
        <f aca="false">(2*J28*1000000000+J35*J66)*J10/1000000000</f>
        <v>131.524870545408</v>
      </c>
      <c r="K67" s="74" t="n">
        <f aca="false">(2*K28*1000000000+K35*K66)*K10/1000000000</f>
        <v>400.2653184</v>
      </c>
      <c r="L67" s="74" t="n">
        <f aca="false">(2*L28*1000000000+L35*L66)*L10/1000000000</f>
        <v>32.305934737408</v>
      </c>
      <c r="M67" s="74" t="n">
        <f aca="false">(2*M28*1000000000+M35*M66)*M10/1000000000</f>
        <v>131.524870545408</v>
      </c>
      <c r="N67" s="74" t="n">
        <f aca="false">(2*N28*1000000000+N35*N66)*N10/1000000000</f>
        <v>400.2653184</v>
      </c>
      <c r="O67" s="74" t="n">
        <f aca="false">(2*O28*1000000000+O35*O66)*O10/1000000000</f>
        <v>32.305934737408</v>
      </c>
      <c r="P67" s="74" t="n">
        <f aca="false">(2*P28*1000000000+P35*P66)*P10/1000000000</f>
        <v>131.524870545408</v>
      </c>
      <c r="Q67" s="74" t="n">
        <f aca="false">(2*Q28*1000000000+Q35*Q66)*Q10/1000000000</f>
        <v>400.2653184</v>
      </c>
      <c r="R67" s="74" t="n">
        <f aca="false">(2*R28*1000000000+R35*R66)*R10/1000000000</f>
        <v>131.524870545408</v>
      </c>
      <c r="S67" s="74" t="n">
        <f aca="false">(2*S28*1000000000+S35*S66)*S10/1000000000</f>
        <v>400.2653184</v>
      </c>
    </row>
    <row r="68" customFormat="false" ht="15" hidden="false" customHeight="false" outlineLevel="0" collapsed="false">
      <c r="A68" s="75" t="s">
        <v>769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customFormat="false" ht="15" hidden="false" customHeight="false" outlineLevel="0" collapsed="false">
      <c r="A69" s="60" t="s">
        <v>496</v>
      </c>
      <c r="B69" s="61" t="s">
        <v>316</v>
      </c>
      <c r="C69" s="67" t="n">
        <f aca="false">C15*(1-C56)</f>
        <v>72</v>
      </c>
      <c r="D69" s="67" t="n">
        <f aca="false">D15*(1-D56)</f>
        <v>72</v>
      </c>
      <c r="E69" s="67" t="n">
        <f aca="false">E15*(1-E56)</f>
        <v>72</v>
      </c>
      <c r="F69" s="67" t="n">
        <f aca="false">F15*(1-F56)</f>
        <v>167.4</v>
      </c>
      <c r="G69" s="67" t="n">
        <f aca="false">G15*(1-G56)</f>
        <v>167.4</v>
      </c>
      <c r="H69" s="67" t="n">
        <f aca="false">H15*(1-H56)</f>
        <v>167.4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921.6</v>
      </c>
      <c r="P69" s="67" t="n">
        <f aca="false">P15*(1-P56)</f>
        <v>921.6</v>
      </c>
      <c r="Q69" s="67" t="n">
        <f aca="false">Q15*(1-Q56)</f>
        <v>921.6</v>
      </c>
      <c r="R69" s="67" t="n">
        <f aca="false">R15*(1-R56)</f>
        <v>259.2</v>
      </c>
      <c r="S69" s="67" t="n">
        <f aca="false">S15*(1-S56)</f>
        <v>259.2</v>
      </c>
    </row>
    <row r="70" customFormat="false" ht="15" hidden="false" customHeight="false" outlineLevel="0" collapsed="false">
      <c r="A70" s="60" t="s">
        <v>770</v>
      </c>
      <c r="B70" s="60"/>
      <c r="C70" s="111" t="n">
        <f aca="false">MAX(1,CEILING(C32*C20/(C57*C69),1))</f>
        <v>1</v>
      </c>
      <c r="D70" s="111" t="n">
        <f aca="false">MAX(1,CEILING(D32*D20/(D57*D69),1))</f>
        <v>2</v>
      </c>
      <c r="E70" s="111" t="n">
        <f aca="false">MAX(1,CEILING(E32*E20/(E57*E69),1))</f>
        <v>4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2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  <c r="R70" s="111" t="n">
        <f aca="false">MAX(1,CEILING(R32*R20/(R57*R69),1))</f>
        <v>1</v>
      </c>
      <c r="S70" s="111" t="n">
        <f aca="false">MAX(1,CEILING(S32*S20/(S57*S69),1))</f>
        <v>1</v>
      </c>
    </row>
    <row r="71" customFormat="false" ht="15" hidden="false" customHeight="false" outlineLevel="0" collapsed="false">
      <c r="A71" s="61" t="s">
        <v>771</v>
      </c>
      <c r="B71" s="61" t="s">
        <v>731</v>
      </c>
      <c r="C71" s="67" t="n">
        <f aca="false">MAX(C18,CEILING(C33*C19/(C58*C69),1))</f>
        <v>64</v>
      </c>
      <c r="D71" s="67" t="n">
        <f aca="false">MAX(D18,CEILING(D33*D19/(D58*D69),1))</f>
        <v>64</v>
      </c>
      <c r="E71" s="67" t="n">
        <f aca="false">MAX(E18,CEILING(E33*E19/(E58*E69),1))</f>
        <v>138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34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64</v>
      </c>
      <c r="P71" s="67" t="n">
        <f aca="false">MAX(P18,CEILING(P33*P19/(P58*P69),1))</f>
        <v>64</v>
      </c>
      <c r="Q71" s="67" t="n">
        <f aca="false">MAX(Q18,CEILING(Q33*Q19/(Q58*Q69),1))</f>
        <v>64</v>
      </c>
      <c r="R71" s="67" t="n">
        <f aca="false">MAX(R18,CEILING(R33*R19/(R58*R69),1))</f>
        <v>32</v>
      </c>
      <c r="S71" s="67" t="n">
        <f aca="false">MAX(S18,CEILING(S33*S19/(S58*S69),1))</f>
        <v>39</v>
      </c>
    </row>
    <row r="72" customFormat="false" ht="15" hidden="false" customHeight="false" outlineLevel="0" collapsed="false">
      <c r="A72" s="60" t="s">
        <v>499</v>
      </c>
      <c r="B72" s="61" t="s">
        <v>316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  <c r="R72" s="74" t="n">
        <f aca="false">R32*R20/R70+R33*R19/R71</f>
        <v>69.6440972222222</v>
      </c>
      <c r="S72" s="74" t="n">
        <f aca="false">S32*S20/S70+S33*S19/S71</f>
        <v>150.37841191067</v>
      </c>
    </row>
    <row r="73" customFormat="false" ht="15" hidden="false" customHeight="false" outlineLevel="0" collapsed="false">
      <c r="A73" s="60" t="s">
        <v>772</v>
      </c>
      <c r="B73" s="61" t="s">
        <v>99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  <c r="R73" s="85" t="n">
        <f aca="false">R72/R69</f>
        <v>0.268688646690672</v>
      </c>
      <c r="S73" s="85" t="n">
        <f aca="false">S72/S69</f>
        <v>0.580163626198573</v>
      </c>
    </row>
    <row r="74" customFormat="false" ht="15" hidden="false" customHeight="false" outlineLevel="0" collapsed="false">
      <c r="A74" s="75" t="s">
        <v>773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</row>
    <row r="75" customFormat="false" ht="15" hidden="false" customHeight="false" outlineLevel="0" collapsed="false">
      <c r="A75" s="61" t="s">
        <v>774</v>
      </c>
      <c r="B75" s="61" t="s">
        <v>372</v>
      </c>
      <c r="C75" s="67" t="n">
        <f aca="false">C51*C14*1000000000000000/(C67*1000000000)</f>
        <v>9184.07105108283</v>
      </c>
      <c r="D75" s="67" t="n">
        <f aca="false">D51*D14*1000000000000000/(D67*1000000000)</f>
        <v>2255.8471167441</v>
      </c>
      <c r="E75" s="67" t="n">
        <f aca="false">E51*E14*1000000000000000/(E67*1000000000)</f>
        <v>741.258326317187</v>
      </c>
      <c r="F75" s="67" t="n">
        <f aca="false">F51*F14*1000000000000000/(F67*1000000000)</f>
        <v>92862.1946520003</v>
      </c>
      <c r="G75" s="67" t="n">
        <f aca="false">G51*G14*1000000000000000/(G67*1000000000)</f>
        <v>22809.3742845713</v>
      </c>
      <c r="H75" s="67" t="n">
        <f aca="false">H51*H14*1000000000000000/(H67*1000000000)</f>
        <v>7495.02857752464</v>
      </c>
      <c r="I75" s="67" t="n">
        <f aca="false">I51*I14*1000000000000000/(I67*1000000000)</f>
        <v>139293.291978</v>
      </c>
      <c r="J75" s="67" t="n">
        <f aca="false">J51*J14*1000000000000000/(J67*1000000000)</f>
        <v>34214.061426857</v>
      </c>
      <c r="K75" s="67" t="n">
        <f aca="false">K51*K14*1000000000000000/(K67*1000000000)</f>
        <v>11242.542866287</v>
      </c>
      <c r="L75" s="67" t="n">
        <f aca="false">L51*L14*1000000000000000/(L67*1000000000)</f>
        <v>325017.681282001</v>
      </c>
      <c r="M75" s="67" t="n">
        <f aca="false">M51*M14*1000000000000000/(M67*1000000000)</f>
        <v>79832.8099959996</v>
      </c>
      <c r="N75" s="67" t="n">
        <f aca="false">N51*N14*1000000000000000/(N67*1000000000)</f>
        <v>26232.6000213363</v>
      </c>
      <c r="O75" s="67" t="n">
        <f aca="false">O51*O14*1000000000000000/(O67*1000000000)</f>
        <v>650035.362564002</v>
      </c>
      <c r="P75" s="67" t="n">
        <f aca="false">P51*P14*1000000000000000/(P67*1000000000)</f>
        <v>159665.619991999</v>
      </c>
      <c r="Q75" s="67" t="n">
        <f aca="false">Q51*Q14*1000000000000000/(Q67*1000000000)</f>
        <v>52465.2000426725</v>
      </c>
      <c r="R75" s="67" t="n">
        <f aca="false">R51*R14*1000000000000000/(R67*1000000000)</f>
        <v>39916.4049979998</v>
      </c>
      <c r="S75" s="67" t="n">
        <f aca="false">S51*S14*1000000000000000/(S67*1000000000)</f>
        <v>13116.3000106681</v>
      </c>
    </row>
    <row r="76" customFormat="false" ht="15" hidden="false" customHeight="false" outlineLevel="0" collapsed="false">
      <c r="A76" s="61" t="s">
        <v>775</v>
      </c>
      <c r="B76" s="61" t="s">
        <v>375</v>
      </c>
      <c r="C76" s="76" t="n">
        <f aca="false">C43*C67*1000000000/(C51*C14*1000000000000000*C21)</f>
        <v>0.055748697625726</v>
      </c>
      <c r="D76" s="76" t="n">
        <f aca="false">D43*D67*1000000000/(D51*D14*1000000000000000*D21)</f>
        <v>0.453931470975726</v>
      </c>
      <c r="E76" s="76" t="n">
        <f aca="false">E43*E67*1000000000/(E51*E14*1000000000000000*E21)</f>
        <v>2.76286947112639</v>
      </c>
      <c r="F76" s="76" t="n">
        <f aca="false">F43*F67*1000000000/(F51*F14*1000000000000000*F21)</f>
        <v>0.0110270923903686</v>
      </c>
      <c r="G76" s="76" t="n">
        <f aca="false">G43*G67*1000000000/(G51*G14*1000000000000000*G21)</f>
        <v>0.0897876449589985</v>
      </c>
      <c r="H76" s="76" t="n">
        <f aca="false">H43*H67*1000000000/(H51*H14*1000000000000000*H21)</f>
        <v>0.5464955813888</v>
      </c>
      <c r="I76" s="76" t="n">
        <f aca="false">I43*I67*1000000000/(I51*I14*1000000000000000*I21)</f>
        <v>0.0073513949269124</v>
      </c>
      <c r="J76" s="76" t="n">
        <f aca="false">J43*J67*1000000000/(J51*J14*1000000000000000*J21)</f>
        <v>0.0598584299726657</v>
      </c>
      <c r="K76" s="76" t="n">
        <f aca="false">K43*K67*1000000000/(K51*K14*1000000000000000*K21)</f>
        <v>0.364330387592533</v>
      </c>
      <c r="L76" s="76" t="n">
        <f aca="false">L43*L67*1000000000/(L51*L14*1000000000000000*L21)</f>
        <v>0.0031505978258196</v>
      </c>
      <c r="M76" s="76" t="n">
        <f aca="false">M43*M67*1000000000/(M51*M14*1000000000000000*M21)</f>
        <v>0.0256536128454282</v>
      </c>
      <c r="N76" s="76" t="n">
        <f aca="false">N43*N67*1000000000/(N51*N14*1000000000000000*N21)</f>
        <v>0.156141594682514</v>
      </c>
      <c r="O76" s="76" t="n">
        <f aca="false">O43*O67*1000000000/(O51*O14*1000000000000000*O21)</f>
        <v>0.0007876494564549</v>
      </c>
      <c r="P76" s="76" t="n">
        <f aca="false">P43*P67*1000000000/(P51*P14*1000000000000000*P21)</f>
        <v>0.00641340321135704</v>
      </c>
      <c r="Q76" s="76" t="n">
        <f aca="false">Q43*Q67*1000000000/(Q51*Q14*1000000000000000*Q21)</f>
        <v>0.0390353986706286</v>
      </c>
      <c r="R76" s="76" t="n">
        <f aca="false">R43*R67*1000000000/(R51*R14*1000000000000000*R21)</f>
        <v>0.0513072256908563</v>
      </c>
      <c r="S76" s="76" t="n">
        <f aca="false">S43*S67*1000000000/(S51*S14*1000000000000000*S21)</f>
        <v>0.312283189365029</v>
      </c>
    </row>
    <row r="77" customFormat="false" ht="15" hidden="false" customHeight="false" outlineLevel="0" collapsed="false">
      <c r="A77" s="61" t="s">
        <v>776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  <c r="R77" s="60" t="str">
        <f aca="false">IF(R76&lt;=R42,"是","否")</f>
        <v>是</v>
      </c>
      <c r="S77" s="60" t="str">
        <f aca="false">IF(S76&lt;=S42,"是","否")</f>
        <v>是</v>
      </c>
    </row>
    <row r="78" customFormat="false" ht="15" hidden="false" customHeight="false" outlineLevel="0" collapsed="false">
      <c r="A78" s="75" t="s">
        <v>777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customFormat="false" ht="15" hidden="false" customHeight="false" outlineLevel="0" collapsed="false">
      <c r="A79" s="60" t="s">
        <v>778</v>
      </c>
      <c r="B79" s="61" t="s">
        <v>504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  <c r="R79" s="71" t="n">
        <f aca="false">R72/R16+(R29+R47)*R55/1000</f>
        <v>13.4815024233849</v>
      </c>
      <c r="S79" s="71" t="n">
        <f aca="false">S72/S16+(S29+S47)*S55/1000</f>
        <v>23.4374721873468</v>
      </c>
    </row>
    <row r="80" customFormat="false" ht="15" hidden="false" customHeight="false" outlineLevel="0" collapsed="false">
      <c r="A80" s="60" t="s">
        <v>779</v>
      </c>
      <c r="B80" s="61" t="s">
        <v>504</v>
      </c>
      <c r="C80" s="72" t="n">
        <f aca="false">(C47+1)*C65/(C14*C53)/1000</f>
        <v>1.82389430895692</v>
      </c>
      <c r="D80" s="72" t="n">
        <f aca="false">(D47+1)*D65/(D14*D53)/1000</f>
        <v>6.28006550998833</v>
      </c>
      <c r="E80" s="72" t="n">
        <f aca="false">(E47+1)*E65/(E14*E53)/1000</f>
        <v>24.546216389096</v>
      </c>
      <c r="F80" s="72" t="n">
        <f aca="false">(F47+1)*F65/(F14*F53)/1000</f>
        <v>0.43313842049109</v>
      </c>
      <c r="G80" s="72" t="n">
        <f aca="false">(G47+1)*G65/(G14*G53)/1000</f>
        <v>1.49138995731203</v>
      </c>
      <c r="H80" s="72" t="n">
        <f aca="false">(H47+1)*H65/(H14*H53)/1000</f>
        <v>5.82923546808251</v>
      </c>
      <c r="I80" s="72" t="n">
        <f aca="false">(I47+1)*I65/(I14*I53)/1000</f>
        <v>0.28875894699406</v>
      </c>
      <c r="J80" s="72" t="n">
        <f aca="false">(J47+1)*J65/(J14*J53)/1000</f>
        <v>0.994259971541353</v>
      </c>
      <c r="K80" s="72" t="n">
        <f aca="false">(K47+1)*K65/(K14*K53)/1000</f>
        <v>3.88615697872167</v>
      </c>
      <c r="L80" s="72" t="n">
        <f aca="false">(L47+1)*L65/(L14*L53)/1000</f>
        <v>0.165005112568034</v>
      </c>
      <c r="M80" s="72" t="n">
        <f aca="false">(M47+1)*M65/(M14*M53)/1000</f>
        <v>0.568148555166487</v>
      </c>
      <c r="N80" s="72" t="n">
        <f aca="false">(N47+1)*N65/(N14*N53)/1000</f>
        <v>2.2206611306981</v>
      </c>
      <c r="O80" s="72" t="n">
        <f aca="false">(O47+1)*O65/(O14*O53)/1000</f>
        <v>0.0618769172130129</v>
      </c>
      <c r="P80" s="72" t="n">
        <f aca="false">(P47+1)*P65/(P14*P53)/1000</f>
        <v>0.213055708187433</v>
      </c>
      <c r="Q80" s="72" t="n">
        <f aca="false">(Q47+1)*Q65/(Q14*Q53)/1000</f>
        <v>0.832747924011788</v>
      </c>
      <c r="R80" s="72" t="n">
        <f aca="false">(R47+1)*R65/(R14*R53)/1000</f>
        <v>0.852222832749731</v>
      </c>
      <c r="S80" s="72" t="n">
        <f aca="false">(S47+1)*S65/(S14*S53)/1000</f>
        <v>3.33099169604715</v>
      </c>
    </row>
    <row r="81" customFormat="false" ht="15" hidden="false" customHeight="false" outlineLevel="0" collapsed="false">
      <c r="A81" s="60" t="s">
        <v>780</v>
      </c>
      <c r="B81" s="61" t="s">
        <v>504</v>
      </c>
      <c r="C81" s="72" t="n">
        <f aca="false">C34*C45/(C16*C60)/1000000000</f>
        <v>0.00976402558635395</v>
      </c>
      <c r="D81" s="72" t="n">
        <f aca="false">D34*D45/(D16*D60)/1000000000</f>
        <v>0.0277025842217484</v>
      </c>
      <c r="E81" s="72" t="n">
        <f aca="false">E34*E45/(E16*E60)/1000000000</f>
        <v>0.80487710021322</v>
      </c>
      <c r="F81" s="72" t="n">
        <f aca="false">F34*F45/(F16*F60)/1000000000</f>
        <v>0.00408868571428572</v>
      </c>
      <c r="G81" s="72" t="n">
        <f aca="false">G34*G45/(G16*G60)/1000000000</f>
        <v>0.0116004571428571</v>
      </c>
      <c r="H81" s="72" t="n">
        <f aca="false">H34*H45/(H16*H60)/1000000000</f>
        <v>0.337042285714286</v>
      </c>
      <c r="I81" s="72" t="n">
        <f aca="false">I34*I45/(I16*I60)/1000000000</f>
        <v>0.00408868571428572</v>
      </c>
      <c r="J81" s="72" t="n">
        <f aca="false">J34*J45/(J16*J60)/1000000000</f>
        <v>0.0116004571428571</v>
      </c>
      <c r="K81" s="72" t="n">
        <f aca="false">K34*K45/(K16*K60)/1000000000</f>
        <v>0.337042285714286</v>
      </c>
      <c r="L81" s="72" t="n">
        <f aca="false">L34*L45/(L16*L60)/1000000000</f>
        <v>0.00148679480519481</v>
      </c>
      <c r="M81" s="72" t="n">
        <f aca="false">M34*M45/(M16*M60)/1000000000</f>
        <v>0.00421834805194805</v>
      </c>
      <c r="N81" s="72" t="n">
        <f aca="false">N34*N45/(N16*N60)/1000000000</f>
        <v>0.122560831168831</v>
      </c>
      <c r="O81" s="72" t="n">
        <f aca="false">O34*O45/(O16*O60)/1000000000</f>
        <v>0.00102217142857143</v>
      </c>
      <c r="P81" s="72" t="n">
        <f aca="false">P34*P45/(P16*P60)/1000000000</f>
        <v>0.00290011428571429</v>
      </c>
      <c r="Q81" s="72" t="n">
        <f aca="false">Q34*Q45/(Q16*Q60)/1000000000</f>
        <v>0.0842605714285714</v>
      </c>
      <c r="R81" s="72" t="n">
        <f aca="false">R34*R45/(R16*R60)/1000000000</f>
        <v>0.00421834805194805</v>
      </c>
      <c r="S81" s="72" t="n">
        <f aca="false">S34*S45/(S16*S60)/1000000000</f>
        <v>0.122560831168831</v>
      </c>
    </row>
    <row r="82" customFormat="false" ht="15" hidden="false" customHeight="false" outlineLevel="0" collapsed="false">
      <c r="A82" s="60" t="s">
        <v>781</v>
      </c>
      <c r="B82" s="61" t="s">
        <v>504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  <c r="R82" s="72" t="n">
        <f aca="false">(R47+1)*R29*R31*R30*R59*(R71-1)/R71/(R17*R61)/1000000000</f>
        <v>0.0242048</v>
      </c>
      <c r="S82" s="72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0" t="s">
        <v>782</v>
      </c>
      <c r="B83" s="61" t="s">
        <v>504</v>
      </c>
      <c r="C83" s="72" t="n">
        <f aca="false">MAX(C80,C81,C82)</f>
        <v>1.82389430895692</v>
      </c>
      <c r="D83" s="72" t="n">
        <f aca="false">MAX(D80,D81,D82)</f>
        <v>6.28006550998833</v>
      </c>
      <c r="E83" s="72" t="n">
        <f aca="false">MAX(E80,E81,E82)</f>
        <v>24.546216389096</v>
      </c>
      <c r="F83" s="72" t="n">
        <f aca="false">MAX(F80,F81,F82)</f>
        <v>0.43313842049109</v>
      </c>
      <c r="G83" s="72" t="n">
        <f aca="false">MAX(G80,G81,G82)</f>
        <v>1.49138995731203</v>
      </c>
      <c r="H83" s="72" t="n">
        <f aca="false">MAX(H80,H81,H82)</f>
        <v>5.82923546808251</v>
      </c>
      <c r="I83" s="72" t="n">
        <f aca="false">MAX(I80,I81,I82)</f>
        <v>0.28875894699406</v>
      </c>
      <c r="J83" s="72" t="n">
        <f aca="false">MAX(J80,J81,J82)</f>
        <v>0.994259971541353</v>
      </c>
      <c r="K83" s="72" t="n">
        <f aca="false">MAX(K80,K81,K82)</f>
        <v>3.88615697872167</v>
      </c>
      <c r="L83" s="72" t="n">
        <f aca="false">MAX(L80,L81,L82)</f>
        <v>0.165005112568034</v>
      </c>
      <c r="M83" s="72" t="n">
        <f aca="false">MAX(M80,M81,M82)</f>
        <v>0.568148555166487</v>
      </c>
      <c r="N83" s="72" t="n">
        <f aca="false">MAX(N80,N81,N82)</f>
        <v>2.2206611306981</v>
      </c>
      <c r="O83" s="72" t="n">
        <f aca="false">MAX(O80,O81,O82)</f>
        <v>0.0618769172130129</v>
      </c>
      <c r="P83" s="72" t="n">
        <f aca="false">MAX(P80,P81,P82)</f>
        <v>0.213055708187433</v>
      </c>
      <c r="Q83" s="72" t="n">
        <f aca="false">MAX(Q80,Q81,Q82)</f>
        <v>0.832747924011788</v>
      </c>
      <c r="R83" s="72" t="n">
        <f aca="false">MAX(R80,R81,R82)</f>
        <v>0.852222832749731</v>
      </c>
      <c r="S83" s="72" t="n">
        <f aca="false">MAX(S80,S81,S82)</f>
        <v>3.33099169604715</v>
      </c>
    </row>
    <row r="84" customFormat="false" ht="15" hidden="false" customHeight="false" outlineLevel="0" collapsed="false">
      <c r="A84" s="60" t="s">
        <v>783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  <c r="R84" s="60" t="str">
        <f aca="false">IF(R83=R80,"算力",IF(R83=R81,"KV 頻寬","EP 通訊"))</f>
        <v>算力</v>
      </c>
      <c r="S84" s="60" t="str">
        <f aca="false">IF(S83=S80,"算力",IF(S83=S81,"KV 頻寬","EP 通訊"))</f>
        <v>算力</v>
      </c>
    </row>
    <row r="85" customFormat="false" ht="15" hidden="false" customHeight="false" outlineLevel="0" collapsed="false">
      <c r="A85" s="61" t="s">
        <v>784</v>
      </c>
      <c r="B85" s="60" t="s">
        <v>508</v>
      </c>
      <c r="C85" s="74" t="n">
        <f aca="false">(1000*C49/C41-C79)/C83</f>
        <v>61.743328217719</v>
      </c>
      <c r="D85" s="74" t="n">
        <f aca="false">(1000*D49/D41-D79)/D83</f>
        <v>16.0478526859987</v>
      </c>
      <c r="E85" s="74" t="n">
        <f aca="false">(1000*E49/E41-E79)/E83</f>
        <v>3.6477512261563</v>
      </c>
      <c r="F85" s="74" t="n">
        <f aca="false">(1000*F49/F41-F79)/F83</f>
        <v>272.307505014644</v>
      </c>
      <c r="G85" s="74" t="n">
        <f aca="false">(1000*G49/G41-G79)/G83</f>
        <v>73.9768604853229</v>
      </c>
      <c r="H85" s="74" t="n">
        <f aca="false">(1000*H49/H41-H79)/H83</f>
        <v>16.9508160062901</v>
      </c>
      <c r="I85" s="74" t="n">
        <f aca="false">(1000*I49/I41-I79)/I83</f>
        <v>408.461257521966</v>
      </c>
      <c r="J85" s="74" t="n">
        <f aca="false">(1000*J49/J41-J79)/J83</f>
        <v>110.965290727984</v>
      </c>
      <c r="K85" s="74" t="n">
        <f aca="false">(1000*K49/K41-K79)/K83</f>
        <v>24.5055979744523</v>
      </c>
      <c r="L85" s="74" t="n">
        <f aca="false">(1000*L49/L41-L79)/L83</f>
        <v>719.7769766194</v>
      </c>
      <c r="M85" s="74" t="n">
        <f aca="false">(1000*M49/M41-M79)/M83</f>
        <v>200.916139130242</v>
      </c>
      <c r="N85" s="74" t="n">
        <f aca="false">(1000*N49/N41-N79)/N83</f>
        <v>47.1303448425309</v>
      </c>
      <c r="O85" s="74" t="n">
        <f aca="false">(1000*O49/O41-O79)/O83</f>
        <v>1923.00842261957</v>
      </c>
      <c r="P85" s="74" t="n">
        <f aca="false">(1000*P49/P41-P79)/P83</f>
        <v>541.016127272645</v>
      </c>
      <c r="Q85" s="74" t="n">
        <f aca="false">(1000*Q49/Q41-Q79)/Q83</f>
        <v>129.005710256048</v>
      </c>
      <c r="R85" s="74" t="n">
        <f aca="false">(1000*R49/R41-R79)/R83</f>
        <v>132.79214452806</v>
      </c>
      <c r="S85" s="74" t="n">
        <f aca="false">(1000*S49/S41-S79)/S83</f>
        <v>30.9855254022802</v>
      </c>
    </row>
    <row r="86" customFormat="false" ht="15" hidden="false" customHeight="false" outlineLevel="0" collapsed="false">
      <c r="A86" s="61" t="s">
        <v>785</v>
      </c>
      <c r="B86" s="60" t="s">
        <v>508</v>
      </c>
      <c r="C86" s="67" t="n">
        <f aca="false">(C69-C72)*1000000000/(C34*C45)</f>
        <v>2718.08712981468</v>
      </c>
      <c r="D86" s="67" t="n">
        <f aca="false">(D69-D72)*1000000000/(D34*D45)</f>
        <v>572.29812662692</v>
      </c>
      <c r="E86" s="67" t="n">
        <f aca="false">(E69-E72)*1000000000/(E34*E45)</f>
        <v>16.4784039406273</v>
      </c>
      <c r="F86" s="67" t="n">
        <f aca="false">(F69-F72)*1000000000/(F34*F45)</f>
        <v>6860.87326841406</v>
      </c>
      <c r="G86" s="67" t="n">
        <f aca="false">(G69-G72)*1000000000/(G34*G45)</f>
        <v>1837.26853644195</v>
      </c>
      <c r="H86" s="67" t="n">
        <f aca="false">(H69-H72)*1000000000/(H34*H45)</f>
        <v>41.0605015418913</v>
      </c>
      <c r="I86" s="67" t="n">
        <f aca="false">(I69-I72)*1000000000/(I34*I45)</f>
        <v>10870.1951601851</v>
      </c>
      <c r="J86" s="67" t="n">
        <f aca="false">(J69-J72)*1000000000/(J34*J45)</f>
        <v>3250.39018682026</v>
      </c>
      <c r="K86" s="67" t="n">
        <f aca="false">(K69-K72)*1000000000/(K34*K45)</f>
        <v>74.5336338210063</v>
      </c>
      <c r="L86" s="67" t="n">
        <f aca="false">(L69-L72)*1000000000/(L34*L45)</f>
        <v>10870.1951601851</v>
      </c>
      <c r="M86" s="67" t="n">
        <f aca="false">(M69-M72)*1000000000/(M34*M45)</f>
        <v>3250.39018682026</v>
      </c>
      <c r="N86" s="67" t="n">
        <f aca="false">(N69-N72)*1000000000/(N34*N45)</f>
        <v>74.5336338210063</v>
      </c>
      <c r="O86" s="67" t="n">
        <f aca="false">(O69-O72)*1000000000/(O34*O45)</f>
        <v>39907.1423866668</v>
      </c>
      <c r="P86" s="67" t="n">
        <f aca="false">(P69-P72)*1000000000/(P34*P45)</f>
        <v>13660.7600574619</v>
      </c>
      <c r="Q86" s="67" t="n">
        <f aca="false">(Q69-Q72)*1000000000/(Q34*Q45)</f>
        <v>443.883721740069</v>
      </c>
      <c r="R86" s="67" t="n">
        <f aca="false">(R69-R72)*1000000000/(R34*R45)</f>
        <v>2917.92538314035</v>
      </c>
      <c r="S86" s="67" t="n">
        <f aca="false">(S69-S72)*1000000000/(S34*S45)</f>
        <v>57.6557520174079</v>
      </c>
    </row>
    <row r="87" customFormat="false" ht="15" hidden="false" customHeight="false" outlineLevel="0" collapsed="false">
      <c r="A87" s="60" t="s">
        <v>786</v>
      </c>
      <c r="B87" s="60" t="s">
        <v>508</v>
      </c>
      <c r="C87" s="112" t="n">
        <f aca="false">MAX(0,MIN(C85,C86))</f>
        <v>61.743328217719</v>
      </c>
      <c r="D87" s="112" t="n">
        <f aca="false">MAX(0,MIN(D85,D86))</f>
        <v>16.0478526859987</v>
      </c>
      <c r="E87" s="112" t="n">
        <f aca="false">MAX(0,MIN(E85,E86))</f>
        <v>3.6477512261563</v>
      </c>
      <c r="F87" s="112" t="n">
        <f aca="false">MAX(0,MIN(F85,F86))</f>
        <v>272.307505014644</v>
      </c>
      <c r="G87" s="112" t="n">
        <f aca="false">MAX(0,MIN(G85,G86))</f>
        <v>73.9768604853229</v>
      </c>
      <c r="H87" s="112" t="n">
        <f aca="false">MAX(0,MIN(H85,H86))</f>
        <v>16.9508160062901</v>
      </c>
      <c r="I87" s="112" t="n">
        <f aca="false">MAX(0,MIN(I85,I86))</f>
        <v>408.461257521966</v>
      </c>
      <c r="J87" s="112" t="n">
        <f aca="false">MAX(0,MIN(J85,J86))</f>
        <v>110.965290727984</v>
      </c>
      <c r="K87" s="112" t="n">
        <f aca="false">MAX(0,MIN(K85,K86))</f>
        <v>24.5055979744523</v>
      </c>
      <c r="L87" s="112" t="n">
        <f aca="false">MAX(0,MIN(L85,L86))</f>
        <v>719.7769766194</v>
      </c>
      <c r="M87" s="112" t="n">
        <f aca="false">MAX(0,MIN(M85,M86))</f>
        <v>200.916139130242</v>
      </c>
      <c r="N87" s="112" t="n">
        <f aca="false">MAX(0,MIN(N85,N86))</f>
        <v>47.1303448425309</v>
      </c>
      <c r="O87" s="112" t="n">
        <f aca="false">MAX(0,MIN(O85,O86))</f>
        <v>1923.00842261957</v>
      </c>
      <c r="P87" s="112" t="n">
        <f aca="false">MAX(0,MIN(P85,P86))</f>
        <v>541.016127272645</v>
      </c>
      <c r="Q87" s="112" t="n">
        <f aca="false">MAX(0,MIN(Q85,Q86))</f>
        <v>129.005710256048</v>
      </c>
      <c r="R87" s="74" t="n">
        <f aca="false">MAX(0,MIN(R85,R86))</f>
        <v>132.79214452806</v>
      </c>
      <c r="S87" s="74" t="n">
        <f aca="false">MAX(0,MIN(S85,S86))</f>
        <v>30.9855254022802</v>
      </c>
    </row>
    <row r="88" customFormat="false" ht="15" hidden="false" customHeight="false" outlineLevel="0" collapsed="false">
      <c r="A88" s="61" t="s">
        <v>787</v>
      </c>
      <c r="B88" s="61" t="s">
        <v>372</v>
      </c>
      <c r="C88" s="70" t="n">
        <f aca="false">IF(C87&gt;0,C87*C49/((C79+C87*C83)/1000),0)</f>
        <v>1234.86656435438</v>
      </c>
      <c r="D88" s="70" t="n">
        <f aca="false">IF(D87&gt;0,D87*D49/((D79+D87*D83)/1000),0)</f>
        <v>320.957053719974</v>
      </c>
      <c r="E88" s="70" t="n">
        <f aca="false">IF(E87&gt;0,E87*E49/((E79+E87*E83)/1000),0)</f>
        <v>72.9550245231261</v>
      </c>
      <c r="F88" s="70" t="n">
        <f aca="false">IF(F87&gt;0,F87*F49/((F79+F87*F83)/1000),0)</f>
        <v>5446.15010029288</v>
      </c>
      <c r="G88" s="70" t="n">
        <f aca="false">IF(G87&gt;0,G87*G49/((G79+G87*G83)/1000),0)</f>
        <v>1479.53720970646</v>
      </c>
      <c r="H88" s="70" t="n">
        <f aca="false">IF(H87&gt;0,H87*H49/((H79+H87*H83)/1000),0)</f>
        <v>339.016320125802</v>
      </c>
      <c r="I88" s="70" t="n">
        <f aca="false">IF(I87&gt;0,I87*I49/((I79+I87*I83)/1000),0)</f>
        <v>8169.22515043932</v>
      </c>
      <c r="J88" s="70" t="n">
        <f aca="false">IF(J87&gt;0,J87*J49/((J79+J87*J83)/1000),0)</f>
        <v>2219.30581455969</v>
      </c>
      <c r="K88" s="70" t="n">
        <f aca="false">IF(K87&gt;0,K87*K49/((K79+K87*K83)/1000),0)</f>
        <v>490.111959489046</v>
      </c>
      <c r="L88" s="70" t="n">
        <f aca="false">IF(L87&gt;0,L87*L49/((L79+L87*L83)/1000),0)</f>
        <v>14395.539532388</v>
      </c>
      <c r="M88" s="70" t="n">
        <f aca="false">IF(M87&gt;0,M87*M49/((M79+M87*M83)/1000),0)</f>
        <v>4018.32278260485</v>
      </c>
      <c r="N88" s="70" t="n">
        <f aca="false">IF(N87&gt;0,N87*N49/((N79+N87*N83)/1000),0)</f>
        <v>942.606896850618</v>
      </c>
      <c r="O88" s="70" t="n">
        <f aca="false">IF(O87&gt;0,O87*O49/((O79+O87*O83)/1000),0)</f>
        <v>38460.1684523914</v>
      </c>
      <c r="P88" s="70" t="n">
        <f aca="false">IF(P87&gt;0,P87*P49/((P79+P87*P83)/1000),0)</f>
        <v>10820.3225454529</v>
      </c>
      <c r="Q88" s="70" t="n">
        <f aca="false">IF(Q87&gt;0,Q87*Q49/((Q79+Q87*Q83)/1000),0)</f>
        <v>2580.11420512097</v>
      </c>
      <c r="R88" s="67" t="n">
        <f aca="false">IF(R87&gt;0,R87*R49/((R79+R87*R83)/1000),0)</f>
        <v>2655.8428905612</v>
      </c>
      <c r="S88" s="67" t="n">
        <f aca="false">IF(S87&gt;0,S87*S49/((S79+S87*S83)/1000),0)</f>
        <v>619.710508045603</v>
      </c>
    </row>
    <row r="89" customFormat="false" ht="15" hidden="false" customHeight="false" outlineLevel="0" collapsed="false">
      <c r="A89" s="60" t="s">
        <v>788</v>
      </c>
      <c r="B89" s="61" t="s">
        <v>372</v>
      </c>
      <c r="C89" s="67" t="n">
        <f aca="false">IF(C87&gt;0,C49/((C79+C87*C83)/1000),0)</f>
        <v>20</v>
      </c>
      <c r="D89" s="67" t="n">
        <f aca="false">IF(D87&gt;0,D49/((D79+D87*D83)/1000),0)</f>
        <v>20</v>
      </c>
      <c r="E89" s="67" t="n">
        <f aca="false">IF(E87&gt;0,E49/((E79+E87*E83)/1000),0)</f>
        <v>20</v>
      </c>
      <c r="F89" s="67" t="n">
        <f aca="false">IF(F87&gt;0,F49/((F79+F87*F83)/1000),0)</f>
        <v>20</v>
      </c>
      <c r="G89" s="67" t="n">
        <f aca="false">IF(G87&gt;0,G49/((G79+G87*G83)/1000),0)</f>
        <v>20</v>
      </c>
      <c r="H89" s="67" t="n">
        <f aca="false">IF(H87&gt;0,H49/((H79+H87*H83)/1000),0)</f>
        <v>20</v>
      </c>
      <c r="I89" s="67" t="n">
        <f aca="false">IF(I87&gt;0,I49/((I79+I87*I83)/1000),0)</f>
        <v>20</v>
      </c>
      <c r="J89" s="67" t="n">
        <f aca="false">IF(J87&gt;0,J49/((J79+J87*J83)/1000),0)</f>
        <v>20</v>
      </c>
      <c r="K89" s="67" t="n">
        <f aca="false">IF(K87&gt;0,K49/((K79+K87*K83)/1000),0)</f>
        <v>20</v>
      </c>
      <c r="L89" s="67" t="n">
        <f aca="false">IF(L87&gt;0,L49/((L79+L87*L83)/1000),0)</f>
        <v>20</v>
      </c>
      <c r="M89" s="67" t="n">
        <f aca="false">IF(M87&gt;0,M49/((M79+M87*M83)/1000),0)</f>
        <v>20</v>
      </c>
      <c r="N89" s="67" t="n">
        <f aca="false">IF(N87&gt;0,N49/((N79+N87*N83)/1000),0)</f>
        <v>20</v>
      </c>
      <c r="O89" s="67" t="n">
        <f aca="false">IF(O87&gt;0,O49/((O79+O87*O83)/1000),0)</f>
        <v>20</v>
      </c>
      <c r="P89" s="67" t="n">
        <f aca="false">IF(P87&gt;0,P49/((P79+P87*P83)/1000),0)</f>
        <v>20</v>
      </c>
      <c r="Q89" s="67" t="n">
        <f aca="false">IF(Q87&gt;0,Q49/((Q79+Q87*Q83)/1000),0)</f>
        <v>20</v>
      </c>
      <c r="R89" s="67" t="n">
        <f aca="false">IF(R87&gt;0,R49/((R79+R87*R83)/1000),0)</f>
        <v>20</v>
      </c>
      <c r="S89" s="67" t="n">
        <f aca="false">IF(S87&gt;0,S49/((S79+S87*S83)/1000),0)</f>
        <v>20</v>
      </c>
    </row>
    <row r="90" customFormat="false" ht="15" hidden="false" customHeight="false" outlineLevel="0" collapsed="false">
      <c r="A90" s="60" t="s">
        <v>789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60" t="str">
        <f aca="false">IF(R87&lt;=0,"SLO 不可達",IF(R77&lt;&gt;"是","TTFT 不可達",IF(R85&lt;=R86,"SLO（"&amp;R84&amp;"）","HBM 容量")))</f>
        <v>SLO（算力）</v>
      </c>
      <c r="S90" s="60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1" t="s">
        <v>790</v>
      </c>
      <c r="B91" s="61" t="s">
        <v>99</v>
      </c>
      <c r="C91" s="85" t="n">
        <f aca="false">C87*C34*C45/1000000000/C69</f>
        <v>0.0196349272028188</v>
      </c>
      <c r="D91" s="85" t="n">
        <f aca="false">D87*D34*D45/1000000000/D69</f>
        <v>0.0144792999025743</v>
      </c>
      <c r="E91" s="85" t="n">
        <f aca="false">E87*E34*E45/1000000000/E69</f>
        <v>0.0956236097429518</v>
      </c>
      <c r="F91" s="85" t="n">
        <f aca="false">F87*F34*F45/1000000000/F69</f>
        <v>0.0372456804756182</v>
      </c>
      <c r="G91" s="85" t="n">
        <f aca="false">G87*G34*G45/1000000000/G69</f>
        <v>0.0287080420423502</v>
      </c>
      <c r="H91" s="85" t="n">
        <f aca="false">H87*H34*H45/1000000000/H69</f>
        <v>0.191120632737759</v>
      </c>
      <c r="I91" s="85" t="n">
        <f aca="false">I87*I34*I45/1000000000/I69</f>
        <v>0.0360817529607552</v>
      </c>
      <c r="J91" s="85" t="n">
        <f aca="false">J87*J34*J45/1000000000/J69</f>
        <v>0.0278109157285267</v>
      </c>
      <c r="K91" s="85" t="n">
        <f aca="false">K87*K34*K45/1000000000/K69</f>
        <v>0.178444318761523</v>
      </c>
      <c r="L91" s="85" t="n">
        <f aca="false">L87*L34*L45/1000000000/L69</f>
        <v>0.0635820768284831</v>
      </c>
      <c r="M91" s="85" t="n">
        <f aca="false">M87*M34*M45/1000000000/M69</f>
        <v>0.0503550414475954</v>
      </c>
      <c r="N91" s="85" t="n">
        <f aca="false">N87*N34*N45/1000000000/N69</f>
        <v>0.343192697733345</v>
      </c>
      <c r="O91" s="85" t="n">
        <f aca="false">O87*O34*O45/1000000000/O69</f>
        <v>0.0477760759219707</v>
      </c>
      <c r="P91" s="85" t="n">
        <f aca="false">P87*P34*P45/1000000000/P69</f>
        <v>0.0381356256824184</v>
      </c>
      <c r="Q91" s="85" t="n">
        <f aca="false">Q87*Q34*Q45/1000000000/Q69</f>
        <v>0.264203694604387</v>
      </c>
      <c r="R91" s="85" t="n">
        <f aca="false">R87*R34*R45/1000000000/R69</f>
        <v>0.0332813181189536</v>
      </c>
      <c r="S91" s="85" t="n">
        <f aca="false">S87*S34*S45/1000000000/S69</f>
        <v>0.225629710307092</v>
      </c>
    </row>
    <row r="92" customFormat="false" ht="15" hidden="false" customHeight="false" outlineLevel="0" collapsed="false">
      <c r="A92" s="75" t="s">
        <v>791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792</v>
      </c>
      <c r="B93" s="61" t="s">
        <v>793</v>
      </c>
      <c r="C93" s="114" t="n">
        <f aca="false">IF(ISNUMBER(C88),IF(C88&gt;0,IF(C77="是",C43/C75+C44/C88,"TTFT 不可達"),"SLO 不可達"),"SLO 不可達")</f>
        <v>7.07990472331351</v>
      </c>
      <c r="D93" s="114" t="n">
        <f aca="false">IF(ISNUMBER(D88),IF(D88&gt;0,IF(D77="是",D43/D75+D44/D88,"TTFT 不可達"),"SLO 不可達"),"SLO 不可達")</f>
        <v>54.6787797828947</v>
      </c>
      <c r="E93" s="114" t="n">
        <f aca="false">IF(ISNUMBER(E88),IF(E88&gt;0,IF(E77="是",E43/E75+E44/E88,"TTFT 不可達"),"SLO 不可達"),"SLO 不可達")</f>
        <v>471.256392618489</v>
      </c>
      <c r="F93" s="114" t="n">
        <f aca="false">IF(ISNUMBER(F88),IF(F88&gt;0,IF(F77="是",F43/F75+F44/F88,"TTFT 不可達"),"SLO 不可達"),"SLO 不可達")</f>
        <v>1.54829019509718</v>
      </c>
      <c r="G93" s="114" t="n">
        <f aca="false">IF(ISNUMBER(G88),IF(G88&gt;0,IF(G77="是",G43/G75+G44/G88,"TTFT 不可達"),"SLO 不可達"),"SLO 不可達")</f>
        <v>11.4328835637132</v>
      </c>
      <c r="H93" s="114" t="n">
        <f aca="false">IF(ISNUMBER(H88),IF(H88&gt;0,IF(H77="是",H43/H75+H44/H88,"TTFT 不可達"),"SLO 不可達"),"SLO 不可達")</f>
        <v>98.8420960720572</v>
      </c>
      <c r="I93" s="114" t="n">
        <f aca="false">IF(ISNUMBER(I88),IF(I88&gt;0,IF(I77="是",I43/I75+I44/I88,"TTFT 不可達"),"SLO 不可達"),"SLO 不可達")</f>
        <v>1.03219346339812</v>
      </c>
      <c r="J93" s="114" t="n">
        <f aca="false">IF(ISNUMBER(J88),IF(J88&gt;0,IF(J77="是",J43/J75+J44/J88,"TTFT 不可達"),"SLO 不可達"),"SLO 不可達")</f>
        <v>7.62192237580878</v>
      </c>
      <c r="K93" s="114" t="n">
        <f aca="false">IF(ISNUMBER(K88),IF(K88&gt;0,IF(K77="是",K43/K75+K44/K88,"TTFT 不可達"),"SLO 不可達"),"SLO 不可達")</f>
        <v>68.3155145929587</v>
      </c>
      <c r="L93" s="114" t="n">
        <f aca="false">IF(ISNUMBER(L88),IF(L88&gt;0,IF(L77="是",L43/L75+L44/L88,"TTFT 不可達"),"SLO 不可達"),"SLO 不可達")</f>
        <v>0.581667550797239</v>
      </c>
      <c r="M93" s="114" t="n">
        <f aca="false">IF(ISNUMBER(M88),IF(M88&gt;0,IF(M77="是",M43/M75+M44/M88,"TTFT 不可達"),"SLO 不可達"),"SLO 不可達")</f>
        <v>4.17993747553638</v>
      </c>
      <c r="N93" s="114" t="n">
        <f aca="false">IF(ISNUMBER(N88),IF(N88&gt;0,IF(N77="是",N43/N75+N44/N88,"TTFT 不可達"),"SLO 不可達"),"SLO 不可達")</f>
        <v>35.3877323490646</v>
      </c>
      <c r="O93" s="114" t="n">
        <f aca="false">IF(ISNUMBER(O88),IF(O88&gt;0,IF(O77="是",O43/O75+O44/O88,"TTFT 不可達"),"SLO 不可達"),"SLO 不可達")</f>
        <v>0.219300782747588</v>
      </c>
      <c r="P93" s="114" t="n">
        <f aca="false">IF(ISNUMBER(P88),IF(P88&gt;0,IF(P77="是",P43/P75+P44/P88,"TTFT 不可達"),"SLO 不可達"),"SLO 不可達")</f>
        <v>1.56549498961155</v>
      </c>
      <c r="Q93" s="114" t="n">
        <f aca="false">IF(ISNUMBER(Q88),IF(Q88&gt;0,IF(Q77="是",Q43/Q75+Q44/Q88,"TTFT 不可達"),"SLO 不可達"),"SLO 不可達")</f>
        <v>13.0124962012397</v>
      </c>
      <c r="R93" s="114" t="n">
        <f aca="false">IF(ISNUMBER(R88),IF(R88&gt;0,IF(R77="是",R43/R75+R44/R88,"TTFT 不可達"),"SLO 不可達"),"SLO 不可達")</f>
        <v>6.37426851660065</v>
      </c>
      <c r="S93" s="114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1" t="s">
        <v>794</v>
      </c>
      <c r="B94" s="61" t="s">
        <v>99</v>
      </c>
      <c r="C94" s="85" t="n">
        <f aca="false">IF(ISNUMBER(C93),IF(C93&gt;0,(C43/C75)/C93,0),C93)</f>
        <v>0.0629937263897356</v>
      </c>
      <c r="D94" s="85" t="n">
        <f aca="false">IF(ISNUMBER(D93),IF(D93&gt;0,(D43/D75)/D93,0),D93)</f>
        <v>0.0664142795838659</v>
      </c>
      <c r="E94" s="85" t="n">
        <f aca="false">IF(ISNUMBER(E93),IF(E93&gt;0,(E43/E75)/E93,0),E93)</f>
        <v>0.0469021876736744</v>
      </c>
      <c r="F94" s="85" t="n">
        <f aca="false">IF(ISNUMBER(F93),IF(F93&gt;0,(F43/F75)/F93,0),F93)</f>
        <v>0.0284884382147146</v>
      </c>
      <c r="G94" s="85" t="n">
        <f aca="false">IF(ISNUMBER(G93),IF(G93&gt;0,(G43/G75)/G93,0),G93)</f>
        <v>0.0314138229287931</v>
      </c>
      <c r="H94" s="85" t="n">
        <f aca="false">IF(ISNUMBER(H93),IF(H93&gt;0,(H43/H75)/H93,0),H93)</f>
        <v>0.0221159041787377</v>
      </c>
      <c r="I94" s="85" t="n">
        <f aca="false">IF(ISNUMBER(I93),IF(I93&gt;0,(I43/I75)/I93,0),I93)</f>
        <v>0.0284884382147146</v>
      </c>
      <c r="J94" s="85" t="n">
        <f aca="false">IF(ISNUMBER(J93),IF(J93&gt;0,(J43/J75)/J93,0),J93)</f>
        <v>0.0314138229287931</v>
      </c>
      <c r="K94" s="85" t="n">
        <f aca="false">IF(ISNUMBER(K93),IF(K93&gt;0,(K43/K75)/K93,0),K93)</f>
        <v>0.0213322194680554</v>
      </c>
      <c r="L94" s="85" t="n">
        <f aca="false">IF(ISNUMBER(L93),IF(L93&gt;0,(L43/L75)/L93,0),L93)</f>
        <v>0.0216659693084227</v>
      </c>
      <c r="M94" s="85" t="n">
        <f aca="false">IF(ISNUMBER(M93),IF(M93&gt;0,(M43/M75)/M93,0),M93)</f>
        <v>0.0245492790220612</v>
      </c>
      <c r="N94" s="85" t="n">
        <f aca="false">IF(ISNUMBER(N93),IF(N93&gt;0,(N43/N75)/N93,0),N93)</f>
        <v>0.0176492342761422</v>
      </c>
      <c r="O94" s="85" t="n">
        <f aca="false">IF(ISNUMBER(O93),IF(O93&gt;0,(O43/O75)/O93,0),O93)</f>
        <v>0.0287331197485592</v>
      </c>
      <c r="P94" s="85" t="n">
        <f aca="false">IF(ISNUMBER(P93),IF(P93&gt;0,(P43/P75)/P93,0),P93)</f>
        <v>0.0327738038328614</v>
      </c>
      <c r="Q94" s="85" t="n">
        <f aca="false">IF(ISNUMBER(Q93),IF(Q93&gt;0,(Q43/Q75)/Q93,0),Q93)</f>
        <v>0.0239987151224127</v>
      </c>
      <c r="R94" s="85" t="n">
        <f aca="false">IF(ISNUMBER(R93),IF(R93&gt;0,(R43/R75)/R93,0),R93)</f>
        <v>0.0321964633634343</v>
      </c>
      <c r="S94" s="85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0" t="s">
        <v>795</v>
      </c>
      <c r="B95" s="61" t="s">
        <v>372</v>
      </c>
      <c r="C95" s="70" t="n">
        <f aca="false">IF(ISNUMBER(C93),IF(C93&gt;0,C22*(C43+C44)/C93,0),C93)</f>
        <v>55539.7304578371</v>
      </c>
      <c r="D95" s="70" t="n">
        <f aca="false">IF(ISNUMBER(D93),IF(D93&gt;0,D22*(D43+D44)/D93,0),D93)</f>
        <v>14382.7642665505</v>
      </c>
      <c r="E95" s="70" t="n">
        <f aca="false">IF(ISNUMBER(E93),IF(E93&gt;0,E22*(E43+E44)/E93,0),E93)</f>
        <v>3337.59716501784</v>
      </c>
      <c r="F95" s="70" t="n">
        <f aca="false">IF(ISNUMBER(F93),IF(F93&gt;0,F22*(F43+F44)/F93,0),F93)</f>
        <v>571427.761282483</v>
      </c>
      <c r="G95" s="70" t="n">
        <f aca="false">IF(ISNUMBER(G93),IF(G93&gt;0,G22*(G43+G44)/G93,0),G93)</f>
        <v>154770.403296691</v>
      </c>
      <c r="H95" s="70" t="n">
        <f aca="false">IF(ISNUMBER(H93),IF(H93&gt;0,H22*(H43+H44)/H93,0),H93)</f>
        <v>35804.0161088861</v>
      </c>
      <c r="I95" s="70" t="n">
        <f aca="false">IF(ISNUMBER(I93),IF(I93&gt;0,I22*(I43+I44)/I93,0),I93)</f>
        <v>857141.641923725</v>
      </c>
      <c r="J95" s="70" t="n">
        <f aca="false">IF(ISNUMBER(J93),IF(J93&gt;0,J22*(J43+J44)/J93,0),J93)</f>
        <v>232155.604945037</v>
      </c>
      <c r="K95" s="70" t="n">
        <f aca="false">IF(ISNUMBER(K93),IF(K93&gt;0,K22*(K43+K44)/K93,0),K93)</f>
        <v>51802.9326293732</v>
      </c>
      <c r="L95" s="70" t="n">
        <f aca="false">IF(ISNUMBER(L93),IF(L93&gt;0,L22*(L43+L44)/L93,0),L93)</f>
        <v>1521033.79118772</v>
      </c>
      <c r="M95" s="70" t="n">
        <f aca="false">IF(ISNUMBER(M93),IF(M93&gt;0,M22*(M43+M44)/M93,0),M93)</f>
        <v>423324.992384709</v>
      </c>
      <c r="N95" s="70" t="n">
        <f aca="false">IF(ISNUMBER(N93),IF(N93&gt;0,N22*(N43+N44)/N93,0),N93)</f>
        <v>100004.825544962</v>
      </c>
      <c r="O95" s="70" t="n">
        <f aca="false">IF(ISNUMBER(O93),IF(O93&gt;0,O22*(O43+O44)/O93,0),O93)</f>
        <v>4034349.4852835</v>
      </c>
      <c r="P95" s="70" t="n">
        <f aca="false">IF(ISNUMBER(P93),IF(P93&gt;0,P22*(P43+P44)/P93,0),P93)</f>
        <v>1130295.53702951</v>
      </c>
      <c r="Q95" s="70" t="n">
        <f aca="false">IF(ISNUMBER(Q93),IF(Q93&gt;0,Q22*(Q43+Q44)/Q93,0),Q93)</f>
        <v>271965.03616753</v>
      </c>
      <c r="R95" s="67" t="n">
        <f aca="false">IF(ISNUMBER(R93),IF(R93&gt;0,R22*(R43+R44)/R93,0),R93)</f>
        <v>277596.087361511</v>
      </c>
      <c r="S95" s="67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0" t="s">
        <v>796</v>
      </c>
      <c r="B96" s="61" t="s">
        <v>372</v>
      </c>
      <c r="C96" s="67" t="n">
        <f aca="false">IF(ISNUMBER(C95),C95*C44/(C43+C44),C95)</f>
        <v>37026.4869718914</v>
      </c>
      <c r="D96" s="67" t="n">
        <f aca="false">IF(ISNUMBER(D95),D95*D44/(D43+D44),D95)</f>
        <v>9588.50951103365</v>
      </c>
      <c r="E96" s="67" t="n">
        <f aca="false">IF(ISNUMBER(E95),E95*E44/(E43+E44),E95)</f>
        <v>2225.06477667856</v>
      </c>
      <c r="F96" s="67" t="n">
        <f aca="false">IF(ISNUMBER(F95),F95*F44/(F43+F44),F95)</f>
        <v>380951.840854989</v>
      </c>
      <c r="G96" s="67" t="n">
        <f aca="false">IF(ISNUMBER(G95),G95*G44/(G43+G44),G95)</f>
        <v>103180.268864461</v>
      </c>
      <c r="H96" s="67" t="n">
        <f aca="false">IF(ISNUMBER(H95),H95*H44/(H43+H44),H95)</f>
        <v>23869.3440725907</v>
      </c>
      <c r="I96" s="67" t="n">
        <f aca="false">IF(ISNUMBER(I95),I95*I44/(I43+I44),I95)</f>
        <v>571427.761282483</v>
      </c>
      <c r="J96" s="67" t="n">
        <f aca="false">IF(ISNUMBER(J95),J95*J44/(J43+J44),J95)</f>
        <v>154770.403296691</v>
      </c>
      <c r="K96" s="67" t="n">
        <f aca="false">IF(ISNUMBER(K95),K95*K44/(K43+K44),K95)</f>
        <v>34535.2884195821</v>
      </c>
      <c r="L96" s="67" t="n">
        <f aca="false">IF(ISNUMBER(L95),L95*L44/(L43+L44),L95)</f>
        <v>1014022.52745848</v>
      </c>
      <c r="M96" s="67" t="n">
        <f aca="false">IF(ISNUMBER(M95),M95*M44/(M43+M44),M95)</f>
        <v>282216.661589806</v>
      </c>
      <c r="N96" s="67" t="n">
        <f aca="false">IF(ISNUMBER(N95),N95*N44/(N43+N44),N95)</f>
        <v>66669.8836966412</v>
      </c>
      <c r="O96" s="67" t="n">
        <f aca="false">IF(ISNUMBER(O95),O95*O44/(O43+O44),O95)</f>
        <v>2689566.32352234</v>
      </c>
      <c r="P96" s="67" t="n">
        <f aca="false">IF(ISNUMBER(P95),P95*P44/(P43+P44),P95)</f>
        <v>753530.358019676</v>
      </c>
      <c r="Q96" s="67" t="n">
        <f aca="false">IF(ISNUMBER(Q95),Q95*Q44/(Q43+Q44),Q95)</f>
        <v>181310.024111687</v>
      </c>
      <c r="R96" s="67" t="n">
        <f aca="false">IF(ISNUMBER(R95),R95*R44/(R43+R44),R95)</f>
        <v>185064.058241007</v>
      </c>
      <c r="S96" s="67" t="n">
        <f aca="false">IF(ISNUMBER(S95),S95*S44/(S43+S44),S95)</f>
        <v>43589.4142723017</v>
      </c>
    </row>
    <row r="97" customFormat="false" ht="15" hidden="false" customHeight="false" outlineLevel="0" collapsed="false">
      <c r="A97" s="60" t="s">
        <v>797</v>
      </c>
      <c r="B97" s="61" t="s">
        <v>372</v>
      </c>
      <c r="C97" s="67" t="n">
        <f aca="false">IF(ISNUMBER(C95),C95-C96,C95)</f>
        <v>18513.2434859457</v>
      </c>
      <c r="D97" s="67" t="n">
        <f aca="false">IF(ISNUMBER(D95),D95-D96,D95)</f>
        <v>4794.25475551682</v>
      </c>
      <c r="E97" s="67" t="n">
        <f aca="false">IF(ISNUMBER(E95),E95-E96,E95)</f>
        <v>1112.53238833928</v>
      </c>
      <c r="F97" s="67" t="n">
        <f aca="false">IF(ISNUMBER(F95),F95-F96,F95)</f>
        <v>190475.920427494</v>
      </c>
      <c r="G97" s="67" t="n">
        <f aca="false">IF(ISNUMBER(G95),G95-G96,G95)</f>
        <v>51590.1344322304</v>
      </c>
      <c r="H97" s="67" t="n">
        <f aca="false">IF(ISNUMBER(H95),H95-H96,H95)</f>
        <v>11934.6720362954</v>
      </c>
      <c r="I97" s="67" t="n">
        <f aca="false">IF(ISNUMBER(I95),I95-I96,I95)</f>
        <v>285713.880641242</v>
      </c>
      <c r="J97" s="67" t="n">
        <f aca="false">IF(ISNUMBER(J95),J95-J96,J95)</f>
        <v>77385.2016483456</v>
      </c>
      <c r="K97" s="67" t="n">
        <f aca="false">IF(ISNUMBER(K95),K95-K96,K95)</f>
        <v>17267.6442097911</v>
      </c>
      <c r="L97" s="67" t="n">
        <f aca="false">IF(ISNUMBER(L95),L95-L96,L95)</f>
        <v>507011.26372924</v>
      </c>
      <c r="M97" s="67" t="n">
        <f aca="false">IF(ISNUMBER(M95),M95-M96,M95)</f>
        <v>141108.330794903</v>
      </c>
      <c r="N97" s="67" t="n">
        <f aca="false">IF(ISNUMBER(N95),N95-N96,N95)</f>
        <v>33334.9418483206</v>
      </c>
      <c r="O97" s="67" t="n">
        <f aca="false">IF(ISNUMBER(O95),O95-O96,O95)</f>
        <v>1344783.16176117</v>
      </c>
      <c r="P97" s="67" t="n">
        <f aca="false">IF(ISNUMBER(P95),P95-P96,P95)</f>
        <v>376765.179009838</v>
      </c>
      <c r="Q97" s="67" t="n">
        <f aca="false">IF(ISNUMBER(Q95),Q95-Q96,Q95)</f>
        <v>90655.0120558433</v>
      </c>
      <c r="R97" s="67" t="n">
        <f aca="false">IF(ISNUMBER(R95),R95-R96,R95)</f>
        <v>92532.0291205036</v>
      </c>
      <c r="S97" s="67" t="n">
        <f aca="false">IF(ISNUMBER(S95),S95-S96,S95)</f>
        <v>21794.7071361509</v>
      </c>
    </row>
    <row r="98" customFormat="false" ht="15" hidden="false" customHeight="false" outlineLevel="0" collapsed="false">
      <c r="A98" s="60" t="s">
        <v>798</v>
      </c>
      <c r="B98" s="61" t="s">
        <v>799</v>
      </c>
      <c r="C98" s="70" t="n">
        <f aca="false">IF(ISNUMBER(C95),C95*C25*8760*3600/1000000,C95)</f>
        <v>39301929586.3401</v>
      </c>
      <c r="D98" s="70" t="n">
        <f aca="false">IF(ISNUMBER(D95),D95*D25*8760*3600/1000000,D95)</f>
        <v>10177766146.885</v>
      </c>
      <c r="E98" s="70" t="n">
        <f aca="false">IF(ISNUMBER(E95),E95*E25*8760*3600/1000000,E95)</f>
        <v>2361804922.0941</v>
      </c>
      <c r="F98" s="70" t="n">
        <f aca="false">IF(ISNUMBER(F95),F95*F25*8760*3600/1000000,F95)</f>
        <v>125585184236.357</v>
      </c>
      <c r="G98" s="70" t="n">
        <f aca="false">IF(ISNUMBER(G95),G95*G25*8760*3600/1000000,G95)</f>
        <v>34014570045.9619</v>
      </c>
      <c r="H98" s="70" t="n">
        <f aca="false">IF(ISNUMBER(H95),H95*H25*8760*3600/1000000,H95)</f>
        <v>7868805585.05652</v>
      </c>
      <c r="I98" s="70" t="n">
        <f aca="false">IF(ISNUMBER(I95),I95*I25*8760*3600/1000000,I95)</f>
        <v>182836458496.495</v>
      </c>
      <c r="J98" s="70" t="n">
        <f aca="false">IF(ISNUMBER(J95),J95*J25*8760*3600/1000000,J95)</f>
        <v>49520996941.6458</v>
      </c>
      <c r="K98" s="70" t="n">
        <f aca="false">IF(ISNUMBER(K95),K95*K25*8760*3600/1000000,K95)</f>
        <v>11050057864.917</v>
      </c>
      <c r="L98" s="70" t="n">
        <f aca="false">IF(ISNUMBER(L95),L95*L25*8760*3600/1000000,L95)</f>
        <v>194363587280.806</v>
      </c>
      <c r="M98" s="70" t="n">
        <f aca="false">IF(ISNUMBER(M95),M95*M25*8760*3600/1000000,M95)</f>
        <v>54094106641.2887</v>
      </c>
      <c r="N98" s="70" t="n">
        <f aca="false">IF(ISNUMBER(N95),N95*N25*8760*3600/1000000,N95)</f>
        <v>12779003826.8197</v>
      </c>
      <c r="O98" s="70" t="n">
        <f aca="false">IF(ISNUMBER(O95),O95*O25*8760*3600/1000000,O95)</f>
        <v>344149698720.171</v>
      </c>
      <c r="P98" s="70" t="n">
        <f aca="false">IF(ISNUMBER(P95),P95*P25*8760*3600/1000000,P95)</f>
        <v>96419725150.8382</v>
      </c>
      <c r="Q98" s="70" t="n">
        <f aca="false">IF(ISNUMBER(Q95),Q95*Q25*8760*3600/1000000,Q95)</f>
        <v>23199944774.4668</v>
      </c>
      <c r="R98" s="67" t="n">
        <f aca="false">IF(ISNUMBER(R95),R95*R25*8760*3600/1000000,R95)</f>
        <v>35472302895.1041</v>
      </c>
      <c r="S98" s="67" t="n">
        <f aca="false">IF(ISNUMBER(S95),S95*S25*8760*3600/1000000,S95)</f>
        <v>8355036200.89017</v>
      </c>
    </row>
    <row r="99" customFormat="false" ht="15" hidden="false" customHeight="false" outlineLevel="0" collapsed="false">
      <c r="A99" s="60" t="s">
        <v>800</v>
      </c>
      <c r="B99" s="61" t="s">
        <v>799</v>
      </c>
      <c r="C99" s="67" t="n">
        <f aca="false">IF(ISNUMBER(C96),C96*C25*8760*3600/1000000,C96)</f>
        <v>26201286390.8934</v>
      </c>
      <c r="D99" s="67" t="n">
        <f aca="false">IF(ISNUMBER(D96),D96*D25*8760*3600/1000000,D96)</f>
        <v>6785177431.2567</v>
      </c>
      <c r="E99" s="67" t="n">
        <f aca="false">IF(ISNUMBER(E96),E96*E25*8760*3600/1000000,E96)</f>
        <v>1574536614.7294</v>
      </c>
      <c r="F99" s="67" t="n">
        <f aca="false">IF(ISNUMBER(F96),F96*F25*8760*3600/1000000,F96)</f>
        <v>83723456157.5712</v>
      </c>
      <c r="G99" s="67" t="n">
        <f aca="false">IF(ISNUMBER(G96),G96*G25*8760*3600/1000000,G96)</f>
        <v>22676380030.6413</v>
      </c>
      <c r="H99" s="67" t="n">
        <f aca="false">IF(ISNUMBER(H96),H96*H25*8760*3600/1000000,H96)</f>
        <v>5245870390.03768</v>
      </c>
      <c r="I99" s="67" t="n">
        <f aca="false">IF(ISNUMBER(I96),I96*I25*8760*3600/1000000,I96)</f>
        <v>121890972330.997</v>
      </c>
      <c r="J99" s="67" t="n">
        <f aca="false">IF(ISNUMBER(J96),J96*J25*8760*3600/1000000,J96)</f>
        <v>33013997961.0972</v>
      </c>
      <c r="K99" s="67" t="n">
        <f aca="false">IF(ISNUMBER(K96),K96*K25*8760*3600/1000000,K96)</f>
        <v>7366705243.27801</v>
      </c>
      <c r="L99" s="67" t="n">
        <f aca="false">IF(ISNUMBER(L96),L96*L25*8760*3600/1000000,L96)</f>
        <v>129575724853.871</v>
      </c>
      <c r="M99" s="67" t="n">
        <f aca="false">IF(ISNUMBER(M96),M96*M25*8760*3600/1000000,M96)</f>
        <v>36062737760.8591</v>
      </c>
      <c r="N99" s="67" t="n">
        <f aca="false">IF(ISNUMBER(N96),N96*N25*8760*3600/1000000,N96)</f>
        <v>8519335884.54648</v>
      </c>
      <c r="O99" s="67" t="n">
        <f aca="false">IF(ISNUMBER(O96),O96*O25*8760*3600/1000000,O96)</f>
        <v>229433132480.114</v>
      </c>
      <c r="P99" s="67" t="n">
        <f aca="false">IF(ISNUMBER(P96),P96*P25*8760*3600/1000000,P96)</f>
        <v>64279816767.2255</v>
      </c>
      <c r="Q99" s="67" t="n">
        <f aca="false">IF(ISNUMBER(Q96),Q96*Q25*8760*3600/1000000,Q96)</f>
        <v>15466629849.6445</v>
      </c>
      <c r="R99" s="67" t="n">
        <f aca="false">IF(ISNUMBER(R96),R96*R25*8760*3600/1000000,R96)</f>
        <v>23648201930.0694</v>
      </c>
      <c r="S99" s="67" t="n">
        <f aca="false">IF(ISNUMBER(S96),S96*S25*8760*3600/1000000,S96)</f>
        <v>5570024133.92678</v>
      </c>
    </row>
    <row r="100" customFormat="false" ht="15" hidden="false" customHeight="false" outlineLevel="0" collapsed="false">
      <c r="A100" s="75" t="s">
        <v>801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</row>
    <row r="101" customFormat="false" ht="15" hidden="false" customHeight="false" outlineLevel="0" collapsed="false">
      <c r="A101" s="60" t="s">
        <v>802</v>
      </c>
      <c r="B101" s="61" t="s">
        <v>803</v>
      </c>
      <c r="C101" s="74" t="n">
        <f aca="false">1000000/C75</f>
        <v>108.884175050246</v>
      </c>
      <c r="D101" s="74" t="n">
        <f aca="false">1000000/D75</f>
        <v>443.292452124732</v>
      </c>
      <c r="E101" s="74" t="n">
        <f aca="false">1000000/E75</f>
        <v>1349.05735894843</v>
      </c>
      <c r="F101" s="74" t="n">
        <f aca="false">1000000/F75</f>
        <v>10.7686449124693</v>
      </c>
      <c r="G101" s="74" t="n">
        <f aca="false">1000000/G75</f>
        <v>43.841623515136</v>
      </c>
      <c r="H101" s="74" t="n">
        <f aca="false">1000000/H75</f>
        <v>133.4217728</v>
      </c>
      <c r="I101" s="74" t="n">
        <f aca="false">1000000/I75</f>
        <v>7.17909660831289</v>
      </c>
      <c r="J101" s="74" t="n">
        <f aca="false">1000000/J75</f>
        <v>29.2277490100907</v>
      </c>
      <c r="K101" s="74" t="n">
        <f aca="false">1000000/K75</f>
        <v>88.9478485333333</v>
      </c>
      <c r="L101" s="74" t="n">
        <f aca="false">1000000/L75</f>
        <v>3.07675568927695</v>
      </c>
      <c r="M101" s="74" t="n">
        <f aca="false">1000000/M75</f>
        <v>12.5261781471817</v>
      </c>
      <c r="N101" s="74" t="n">
        <f aca="false">1000000/N75</f>
        <v>38.1205065142857</v>
      </c>
      <c r="O101" s="74" t="n">
        <f aca="false">1000000/O75</f>
        <v>1.53837784463848</v>
      </c>
      <c r="P101" s="74" t="n">
        <f aca="false">1000000/P75</f>
        <v>6.26308907359086</v>
      </c>
      <c r="Q101" s="74" t="n">
        <f aca="false">1000000/Q75</f>
        <v>19.0602532571429</v>
      </c>
      <c r="R101" s="74" t="n">
        <f aca="false">1000000/R75</f>
        <v>25.0523562943634</v>
      </c>
      <c r="S101" s="74" t="n">
        <f aca="false">1000000/S75</f>
        <v>76.2410130285714</v>
      </c>
    </row>
    <row r="102" customFormat="false" ht="15" hidden="false" customHeight="false" outlineLevel="0" collapsed="false">
      <c r="A102" s="60" t="s">
        <v>804</v>
      </c>
      <c r="B102" s="61" t="s">
        <v>803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  <c r="R102" s="115" t="n">
        <f aca="false">1000000*R34/(R62*1000000000000)</f>
        <v>0.03965</v>
      </c>
      <c r="S102" s="115" t="n">
        <f aca="false">1000000*S34/(S62*1000000000000)</f>
        <v>0.576</v>
      </c>
    </row>
    <row r="103" customFormat="false" ht="15" hidden="false" customHeight="false" outlineLevel="0" collapsed="false">
      <c r="A103" s="61" t="s">
        <v>805</v>
      </c>
      <c r="B103" s="61" t="s">
        <v>803</v>
      </c>
      <c r="C103" s="74" t="n">
        <f aca="false">IF(ISNUMBER(C88),IF(C88&gt;0,IF(C77="是",1000000/C88,"TTFT 不可達"),"SLO 不可達"),"SLO 不可達")</f>
        <v>809.804094519983</v>
      </c>
      <c r="D103" s="74" t="n">
        <f aca="false">IF(ISNUMBER(D88),IF(D88&gt;0,IF(D77="是",1000000/D88,"TTFT 不可達"),"SLO 不可達"),"SLO 不可達")</f>
        <v>3115.68164154595</v>
      </c>
      <c r="E103" s="74" t="n">
        <f aca="false">IF(ISNUMBER(E88),IF(E88&gt;0,IF(E77="是",1000000/E88,"TTFT 不可達"),"SLO 不可達"),"SLO 不可達")</f>
        <v>13707.0750991662</v>
      </c>
      <c r="F103" s="74" t="n">
        <f aca="false">IF(ISNUMBER(F88),IF(F88&gt;0,IF(F77="是",1000000/F88,"TTFT 不可達"),"SLO 不可達"),"SLO 不可達")</f>
        <v>183.615945499964</v>
      </c>
      <c r="G103" s="74" t="n">
        <f aca="false">IF(ISNUMBER(G88),IF(G88&gt;0,IF(G77="是",1000000/G88,"TTFT 不可達"),"SLO 不可達"),"SLO 不可達")</f>
        <v>675.887022941722</v>
      </c>
      <c r="H103" s="74" t="n">
        <f aca="false">IF(ISNUMBER(H88),IF(H88&gt;0,IF(H77="是",1000000/H88,"TTFT 不可達"),"SLO 不可達"),"SLO 不可達")</f>
        <v>2949.71050251776</v>
      </c>
      <c r="I103" s="74" t="n">
        <f aca="false">IF(ISNUMBER(I88),IF(I88&gt;0,IF(I77="是",1000000/I88,"TTFT 不可達"),"SLO 不可達"),"SLO 不可達")</f>
        <v>122.410630333309</v>
      </c>
      <c r="J103" s="74" t="n">
        <f aca="false">IF(ISNUMBER(J88),IF(J88&gt;0,IF(J77="是",1000000/J88,"TTFT 不可達"),"SLO 不可達"),"SLO 不可達")</f>
        <v>450.591348627815</v>
      </c>
      <c r="K103" s="74" t="n">
        <f aca="false">IF(ISNUMBER(K88),IF(K88&gt;0,IF(K77="是",1000000/K88,"TTFT 不可達"),"SLO 不可達"),"SLO 不可達")</f>
        <v>2040.35012947353</v>
      </c>
      <c r="L103" s="74" t="n">
        <f aca="false">IF(ISNUMBER(L88),IF(L88&gt;0,IF(L77="是",1000000/L88,"TTFT 不可達"),"SLO 不可達"),"SLO 不可達")</f>
        <v>69.4659618522901</v>
      </c>
      <c r="M103" s="74" t="n">
        <f aca="false">IF(ISNUMBER(M88),IF(M88&gt;0,IF(M77="是",1000000/M88,"TTFT 不可達"),"SLO 不可達"),"SLO 不可達")</f>
        <v>248.860047861003</v>
      </c>
      <c r="N103" s="74" t="n">
        <f aca="false">IF(ISNUMBER(N88),IF(N88&gt;0,IF(N77="是",1000000/N88,"TTFT 不可達"),"SLO 不可達"),"SLO 不可達")</f>
        <v>1060.88763337202</v>
      </c>
      <c r="O103" s="74" t="n">
        <f aca="false">IF(ISNUMBER(O88),IF(O88&gt;0,IF(O77="是",1000000/O88,"TTFT 不可達"),"SLO 不可達"),"SLO 不可達")</f>
        <v>26.0009261591734</v>
      </c>
      <c r="P103" s="74" t="n">
        <f aca="false">IF(ISNUMBER(P88),IF(P88&gt;0,IF(P77="是",1000000/P88,"TTFT 不可達"),"SLO 不可達"),"SLO 不可達")</f>
        <v>92.4186867627377</v>
      </c>
      <c r="Q103" s="74" t="n">
        <f aca="false">IF(ISNUMBER(Q88),IF(Q88&gt;0,IF(Q77="是",1000000/Q88,"TTFT 不可達"),"SLO 不可達"),"SLO 不可達")</f>
        <v>387.579742794027</v>
      </c>
      <c r="R103" s="74" t="n">
        <f aca="false">IF(ISNUMBER(R88),IF(R88&gt;0,IF(R77="是",1000000/R88,"TTFT 不可達"),"SLO 不可達"),"SLO 不可達")</f>
        <v>376.528296742994</v>
      </c>
      <c r="S103" s="74" t="n">
        <f aca="false">IF(ISNUMBER(S88),IF(S88&gt;0,IF(S77="是",1000000/S88,"TTFT 不可達"),"SLO 不可達"),"SLO 不可達")</f>
        <v>1613.65667842833</v>
      </c>
    </row>
    <row r="104" customFormat="false" ht="15" hidden="false" customHeight="false" outlineLevel="0" collapsed="false">
      <c r="A104" s="60" t="s">
        <v>806</v>
      </c>
      <c r="B104" s="61" t="s">
        <v>807</v>
      </c>
      <c r="C104" s="116" t="n">
        <f aca="false">INDEX(DC_Cost!$C$58:$Q$58,3*(C$6-1)+2)/3600*C101</f>
        <v>0.0466567645968462</v>
      </c>
      <c r="D104" s="116" t="n">
        <f aca="false">INDEX(DC_Cost!$C$58:$Q$58,3*(D$6-1)+2)/3600*D101</f>
        <v>0.189950390649496</v>
      </c>
      <c r="E104" s="116" t="n">
        <f aca="false">INDEX(DC_Cost!$C$58:$Q$58,3*(E$6-1)+2)/3600*E101</f>
        <v>0.578069784659289</v>
      </c>
      <c r="F104" s="116" t="n">
        <f aca="false">INDEX(DC_Cost!$C$58:$Q$58,3*(F$6-1)+2)/3600*F101</f>
        <v>0.00600788980335461</v>
      </c>
      <c r="G104" s="116" t="n">
        <f aca="false">INDEX(DC_Cost!$C$58:$Q$58,3*(G$6-1)+2)/3600*G101</f>
        <v>0.0244594974595275</v>
      </c>
      <c r="H104" s="116" t="n">
        <f aca="false">INDEX(DC_Cost!$C$58:$Q$58,3*(H$6-1)+2)/3600*H101</f>
        <v>0.0744367852098492</v>
      </c>
      <c r="I104" s="116" t="n">
        <f aca="false">INDEX(DC_Cost!$C$58:$Q$58,3*(I$6-1)+2)/3600*I101</f>
        <v>0.00508875827770772</v>
      </c>
      <c r="J104" s="116" t="n">
        <f aca="false">INDEX(DC_Cost!$C$58:$Q$58,3*(J$6-1)+2)/3600*J101</f>
        <v>0.0207175021912423</v>
      </c>
      <c r="K104" s="116" t="n">
        <f aca="false">INDEX(DC_Cost!$C$58:$Q$58,3*(K$6-1)+2)/3600*K101</f>
        <v>0.0630488939213012</v>
      </c>
      <c r="L104" s="116" t="n">
        <f aca="false">INDEX(DC_Cost!$C$58:$Q$58,3*(L$6-1)+2)/3600*L101</f>
        <v>0.00408836886484789</v>
      </c>
      <c r="M104" s="116" t="n">
        <f aca="false">INDEX(DC_Cost!$C$58:$Q$58,3*(M$6-1)+2)/3600*M101</f>
        <v>0.0166446874254454</v>
      </c>
      <c r="N104" s="116" t="n">
        <f aca="false">INDEX(DC_Cost!$C$58:$Q$58,3*(N$6-1)+2)/3600*N101</f>
        <v>0.0506542305222363</v>
      </c>
      <c r="O104" s="116" t="n">
        <f aca="false">INDEX(DC_Cost!$C$58:$Q$58,3*(O$6-1)+2)/3600*O101</f>
        <v>0.00384584550116992</v>
      </c>
      <c r="P104" s="116" t="n">
        <f aca="false">INDEX(DC_Cost!$C$58:$Q$58,3*(P$6-1)+2)/3600*P101</f>
        <v>0.0156573191826982</v>
      </c>
      <c r="Q104" s="116" t="n">
        <f aca="false">INDEX(DC_Cost!$C$58:$Q$58,3*(Q$6-1)+2)/3600*Q101</f>
        <v>0.0476494051806685</v>
      </c>
      <c r="R104" s="94" t="n">
        <f aca="false">INDEX(DC_Cost!$C$58:$Q$58,3*(R$6-1)+2)/3600*R101</f>
        <v>0.0332893748508908</v>
      </c>
      <c r="S104" s="94" t="n">
        <f aca="false">INDEX(DC_Cost!$C$58:$Q$58,3*(S$6-1)+2)/3600*S101</f>
        <v>0.101308461044473</v>
      </c>
    </row>
    <row r="105" customFormat="false" ht="15" hidden="false" customHeight="false" outlineLevel="0" collapsed="false">
      <c r="A105" s="60" t="s">
        <v>808</v>
      </c>
      <c r="B105" s="61" t="s">
        <v>807</v>
      </c>
      <c r="C105" s="116" t="n">
        <f aca="false">IF(ISNUMBER(C103),INDEX(DC_Cost!$C$58:$Q$58,3*(C$6-1)+2)/3600*C103,C103)</f>
        <v>0.347000277957248</v>
      </c>
      <c r="D105" s="116" t="n">
        <f aca="false">IF(ISNUMBER(D103),INDEX(DC_Cost!$C$58:$Q$58,3*(D$6-1)+2)/3600*D103,D103)</f>
        <v>1.33506659568521</v>
      </c>
      <c r="E105" s="116" t="n">
        <f aca="false">IF(ISNUMBER(E103),INDEX(DC_Cost!$C$58:$Q$58,3*(E$6-1)+2)/3600*E103,E103)</f>
        <v>5.87346853588201</v>
      </c>
      <c r="F105" s="116" t="n">
        <f aca="false">IF(ISNUMBER(F103),INDEX(DC_Cost!$C$58:$Q$58,3*(F$6-1)+2)/3600*F103,F103)</f>
        <v>0.10244040690999</v>
      </c>
      <c r="G105" s="116" t="n">
        <f aca="false">IF(ISNUMBER(G103),INDEX(DC_Cost!$C$58:$Q$58,3*(G$6-1)+2)/3600*G103,G103)</f>
        <v>0.377081312120276</v>
      </c>
      <c r="H105" s="116" t="n">
        <f aca="false">IF(ISNUMBER(H103),INDEX(DC_Cost!$C$58:$Q$58,3*(H$6-1)+2)/3600*H103,H103)</f>
        <v>1.64566069314851</v>
      </c>
      <c r="I105" s="116" t="n">
        <f aca="false">IF(ISNUMBER(I103),INDEX(DC_Cost!$C$58:$Q$58,3*(I$6-1)+2)/3600*I103,I103)</f>
        <v>0.08676831395008</v>
      </c>
      <c r="J105" s="116" t="n">
        <f aca="false">IF(ISNUMBER(J103),INDEX(DC_Cost!$C$58:$Q$58,3*(J$6-1)+2)/3600*J103,J103)</f>
        <v>0.319392617246326</v>
      </c>
      <c r="K105" s="116" t="n">
        <f aca="false">IF(ISNUMBER(K103),INDEX(DC_Cost!$C$58:$Q$58,3*(K$6-1)+2)/3600*K103,K103)</f>
        <v>1.44626116310482</v>
      </c>
      <c r="L105" s="116" t="n">
        <f aca="false">IF(ISNUMBER(L103),INDEX(DC_Cost!$C$58:$Q$58,3*(L$6-1)+2)/3600*L103,L103)</f>
        <v>0.0923058260990347</v>
      </c>
      <c r="M105" s="116" t="n">
        <f aca="false">IF(ISNUMBER(M103),INDEX(DC_Cost!$C$58:$Q$58,3*(M$6-1)+2)/3600*M103,M103)</f>
        <v>0.330683282694629</v>
      </c>
      <c r="N105" s="116" t="n">
        <f aca="false">IF(ISNUMBER(N103),INDEX(DC_Cost!$C$58:$Q$58,3*(N$6-1)+2)/3600*N103,N103)</f>
        <v>1.40969917907249</v>
      </c>
      <c r="O105" s="116" t="n">
        <f aca="false">IF(ISNUMBER(O103),INDEX(DC_Cost!$C$58:$Q$58,3*(O$6-1)+2)/3600*O103,O103)</f>
        <v>0.0650006402809367</v>
      </c>
      <c r="P105" s="116" t="n">
        <f aca="false">IF(ISNUMBER(P103),INDEX(DC_Cost!$C$58:$Q$58,3*(P$6-1)+2)/3600*P103,P103)</f>
        <v>0.231040762806899</v>
      </c>
      <c r="Q105" s="116" t="n">
        <f aca="false">IF(ISNUMBER(Q103),INDEX(DC_Cost!$C$58:$Q$58,3*(Q$6-1)+2)/3600*Q103,Q103)</f>
        <v>0.968924387050889</v>
      </c>
      <c r="R105" s="94" t="n">
        <f aca="false">IF(ISNUMBER(R103),INDEX(DC_Cost!$C$58:$Q$58,3*(R$6-1)+2)/3600*R103,R103)</f>
        <v>0.500327851997903</v>
      </c>
      <c r="S105" s="94" t="n">
        <f aca="false">IF(ISNUMBER(S103),INDEX(DC_Cost!$C$58:$Q$58,3*(S$6-1)+2)/3600*S103,S103)</f>
        <v>2.14421435723114</v>
      </c>
    </row>
    <row r="106" customFormat="false" ht="15" hidden="false" customHeight="false" outlineLevel="0" collapsed="false">
      <c r="A106" s="75" t="s">
        <v>809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</row>
    <row r="107" customFormat="false" ht="15" hidden="false" customHeight="false" outlineLevel="0" collapsed="false">
      <c r="A107" s="60" t="s">
        <v>810</v>
      </c>
      <c r="B107" s="61" t="s">
        <v>811</v>
      </c>
      <c r="C107" s="117" t="n">
        <f aca="false">C23*Energy!$C$5/(C14*1000000000000000)*1000000000000</f>
        <v>0.212228398180899</v>
      </c>
      <c r="D107" s="117" t="n">
        <f aca="false">D23*Energy!$C$5/(D14*1000000000000000)*1000000000000</f>
        <v>0.212228398180899</v>
      </c>
      <c r="E107" s="117" t="n">
        <f aca="false">E23*Energy!$C$5/(E14*1000000000000000)*1000000000000</f>
        <v>0.212228398180899</v>
      </c>
      <c r="F107" s="117" t="n">
        <f aca="false">F23*Energy!$C$5/(F14*1000000000000000)*1000000000000</f>
        <v>0.072</v>
      </c>
      <c r="G107" s="117" t="n">
        <f aca="false">G23*Energy!$C$5/(G14*1000000000000000)*1000000000000</f>
        <v>0.072</v>
      </c>
      <c r="H107" s="117" t="n">
        <f aca="false">H23*Energy!$C$5/(H14*1000000000000000)*1000000000000</f>
        <v>0.072</v>
      </c>
      <c r="I107" s="117" t="n">
        <f aca="false">I23*Energy!$C$5/(I14*1000000000000000)*1000000000000</f>
        <v>0.056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0.056</v>
      </c>
      <c r="L107" s="117" t="n">
        <f aca="false">L23*Energy!$C$5/(L14*1000000000000000)*1000000000000</f>
        <v>0.0308571428571429</v>
      </c>
      <c r="M107" s="117" t="n">
        <f aca="false">M23*Energy!$C$5/(M14*1000000000000000)*1000000000000</f>
        <v>0.0308571428571429</v>
      </c>
      <c r="N107" s="117" t="n">
        <f aca="false">N23*Energy!$C$5/(N14*1000000000000000)*1000000000000</f>
        <v>0.0308571428571429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0.0308571428571429</v>
      </c>
      <c r="Q107" s="117" t="n">
        <f aca="false">Q23*Energy!$C$5/(Q14*1000000000000000)*1000000000000</f>
        <v>0.0308571428571429</v>
      </c>
      <c r="R107" s="117" t="n">
        <f aca="false">R23*Energy!$C$5/(R14*1000000000000000)*1000000000000</f>
        <v>0.0617142857142857</v>
      </c>
      <c r="S107" s="117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1" t="s">
        <v>812</v>
      </c>
      <c r="B108" s="61" t="s">
        <v>739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</row>
    <row r="109" customFormat="false" ht="15" hidden="false" customHeight="false" outlineLevel="0" collapsed="false">
      <c r="A109" s="61" t="s">
        <v>813</v>
      </c>
      <c r="B109" s="61" t="s">
        <v>493</v>
      </c>
      <c r="C109" s="74" t="n">
        <f aca="false">(C47+1)*C65/C49</f>
        <v>61.1404608556873</v>
      </c>
      <c r="D109" s="74" t="n">
        <f aca="false">(D47+1)*D65/D49</f>
        <v>210.519928484333</v>
      </c>
      <c r="E109" s="74" t="n">
        <f aca="false">(E47+1)*E65/E49</f>
        <v>822.836594709831</v>
      </c>
      <c r="F109" s="74" t="n">
        <f aca="false">(F47+1)*F65/F49</f>
        <v>61.1404608556873</v>
      </c>
      <c r="G109" s="74" t="n">
        <f aca="false">(G47+1)*G65/G49</f>
        <v>210.519928484333</v>
      </c>
      <c r="H109" s="74" t="n">
        <f aca="false">(H47+1)*H65/H49</f>
        <v>822.836594709831</v>
      </c>
      <c r="I109" s="74" t="n">
        <f aca="false">(I47+1)*I65/I49</f>
        <v>61.1404608556873</v>
      </c>
      <c r="J109" s="74" t="n">
        <f aca="false">(J47+1)*J65/J49</f>
        <v>210.519928484333</v>
      </c>
      <c r="K109" s="74" t="n">
        <f aca="false">(K47+1)*K65/K49</f>
        <v>822.836594709831</v>
      </c>
      <c r="L109" s="74" t="n">
        <f aca="false">(L47+1)*L65/L49</f>
        <v>61.1404608556873</v>
      </c>
      <c r="M109" s="74" t="n">
        <f aca="false">(M47+1)*M65/M49</f>
        <v>210.519928484333</v>
      </c>
      <c r="N109" s="74" t="n">
        <f aca="false">(N47+1)*N65/N49</f>
        <v>822.836594709831</v>
      </c>
      <c r="O109" s="74" t="n">
        <f aca="false">(O47+1)*O65/O49</f>
        <v>61.1404608556873</v>
      </c>
      <c r="P109" s="74" t="n">
        <f aca="false">(P47+1)*P65/P49</f>
        <v>210.519928484333</v>
      </c>
      <c r="Q109" s="74" t="n">
        <f aca="false">(Q47+1)*Q65/Q49</f>
        <v>822.836594709831</v>
      </c>
      <c r="R109" s="74" t="n">
        <f aca="false">(R47+1)*R65/R49</f>
        <v>210.519928484333</v>
      </c>
      <c r="S109" s="74" t="n">
        <f aca="false">(S47+1)*S65/S49</f>
        <v>822.836594709831</v>
      </c>
    </row>
    <row r="110" customFormat="false" ht="15" hidden="false" customHeight="false" outlineLevel="0" collapsed="false">
      <c r="A110" s="61" t="s">
        <v>814</v>
      </c>
      <c r="B110" s="61" t="s">
        <v>316</v>
      </c>
      <c r="C110" s="114" t="n">
        <f aca="false">IF(C87&gt;0,(C72+C87*C34*C45/1000000000)/(C87*C49),0)</f>
        <v>0.0714766551143445</v>
      </c>
      <c r="D110" s="114" t="n">
        <f aca="false">IF(D87&gt;0,(D72+D87*D34*D45/1000000000)/(D87*D49),0)</f>
        <v>0.882294082737147</v>
      </c>
      <c r="E110" s="114" t="n">
        <f aca="false">IF(E87&gt;0,(E72+E87*E34*E45/1000000000)/(E87*E49),0)</f>
        <v>5.17145311922073</v>
      </c>
      <c r="F110" s="114" t="n">
        <f aca="false">IF(F87&gt;0,(F72+F87*F34*F45/1000000000)/(F87*F49),0)</f>
        <v>0.0239853045689392</v>
      </c>
      <c r="G110" s="114" t="n">
        <f aca="false">IF(G87&gt;0,(G72+G87*G34*G45/1000000000)/(G87*G49),0)</f>
        <v>0.282053064454993</v>
      </c>
      <c r="H110" s="114" t="n">
        <f aca="false">IF(H87&gt;0,(H72+H87*H34*H45/1000000000)/(H87*H49),0)</f>
        <v>2.83895352616057</v>
      </c>
      <c r="I110" s="114" t="n">
        <f aca="false">IF(I87&gt;0,(I72+I87*I34*I45/1000000000)/(I87*I49),0)</f>
        <v>0.0190033152975715</v>
      </c>
      <c r="J110" s="114" t="n">
        <f aca="false">IF(J87&gt;0,(J72+J87*J34*J45/1000000000)/(J87*J49),0)</f>
        <v>0.196584206412553</v>
      </c>
      <c r="K110" s="114" t="n">
        <f aca="false">IF(K87&gt;0,(K72+K87*K34*K45/1000000000)/(K87*K49),0)</f>
        <v>2.65455342010991</v>
      </c>
      <c r="L110" s="114" t="n">
        <f aca="false">IF(L87&gt;0,(L72+L87*L34*L45/1000000000)/(L87*L49),0)</f>
        <v>0.0146937260138575</v>
      </c>
      <c r="M110" s="114" t="n">
        <f aca="false">IF(M87&gt;0,(M72+M87*M34*M45/1000000000)/(M87*M49),0)</f>
        <v>0.120054801396405</v>
      </c>
      <c r="N110" s="114" t="n">
        <f aca="false">IF(N87&gt;0,(N72+N87*N34*N45/1000000000)/(N87*N49),0)</f>
        <v>1.73794607023658</v>
      </c>
      <c r="O110" s="114" t="n">
        <f aca="false">IF(O87&gt;0,(O72+O87*O34*O45/1000000000)/(O87*O49),0)</f>
        <v>0.0106530832296645</v>
      </c>
      <c r="P110" s="114" t="n">
        <f aca="false">IF(P87&gt;0,(P72+P87*P34*P45/1000000000)/(P87*P49),0)</f>
        <v>0.0505751304496475</v>
      </c>
      <c r="Q110" s="114" t="n">
        <f aca="false">IF(Q87&gt;0,(Q72+Q87*Q34*Q45/1000000000)/(Q87*Q49),0)</f>
        <v>1.00157966527806</v>
      </c>
      <c r="R110" s="114" t="n">
        <f aca="false">IF(R87&gt;0,(R72+R87*R34*R45/1000000000)/(R87*R49),0)</f>
        <v>0.232697207305857</v>
      </c>
      <c r="S110" s="114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1" t="s">
        <v>815</v>
      </c>
      <c r="B111" s="61" t="s">
        <v>316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  <c r="R111" s="72" t="n">
        <f aca="false">(R47+1)*R29*R31*R30*R59/R49/1000000000</f>
        <v>0.0124286837741808</v>
      </c>
      <c r="S111" s="72" t="n">
        <f aca="false">(S47+1)*S29*S31*S30*S59/S49/1000000000</f>
        <v>0.0931423608369523</v>
      </c>
    </row>
    <row r="112" customFormat="false" ht="15" hidden="false" customHeight="false" outlineLevel="0" collapsed="false">
      <c r="A112" s="61" t="s">
        <v>816</v>
      </c>
      <c r="B112" s="61" t="s">
        <v>817</v>
      </c>
      <c r="C112" s="72" t="n">
        <f aca="false">(C109*C107+C110*C24+C111*C108)/1000</f>
        <v>0.0153917744557886</v>
      </c>
      <c r="D112" s="72" t="n">
        <f aca="false">(D109*D107+D110*D24+D111*D108)/1000</f>
        <v>0.0725265711232064</v>
      </c>
      <c r="E112" s="72" t="n">
        <f aca="false">(E109*E107+E110*E24+E111*E108)/1000</f>
        <v>0.338670033589214</v>
      </c>
      <c r="F112" s="72" t="n">
        <f aca="false">(F109*F107+F110*F24+F111*F108)/1000</f>
        <v>0.00505180981478283</v>
      </c>
      <c r="G112" s="72" t="n">
        <f aca="false">(G109*G107+G110*G24+G111*G108)/1000</f>
        <v>0.0223330482999886</v>
      </c>
      <c r="H112" s="72" t="n">
        <f aca="false">(H109*H107+H110*H24+H111*H108)/1000</f>
        <v>0.131149496581492</v>
      </c>
      <c r="I112" s="72" t="n">
        <f aca="false">(I109*I107+I110*I24+I111*I108)/1000</f>
        <v>0.00394901270930764</v>
      </c>
      <c r="J112" s="72" t="n">
        <f aca="false">(J109*J107+J110*J24+J111*J108)/1000</f>
        <v>0.0168280079931783</v>
      </c>
      <c r="K112" s="72" t="n">
        <f aca="false">(K109*K107+K110*K24+K111*K108)/1000</f>
        <v>0.113374108414868</v>
      </c>
      <c r="L112" s="72" t="n">
        <f aca="false">(L109*L107+L110*L24+L111*L108)/1000</f>
        <v>0.00223055847420251</v>
      </c>
      <c r="M112" s="72" t="n">
        <f aca="false">(M109*M107+M110*M24+M111*M108)/1000</f>
        <v>0.00902142637318648</v>
      </c>
      <c r="N112" s="72" t="n">
        <f aca="false">(N109*N107+N110*N24+N111*N108)/1000</f>
        <v>0.0610807313641472</v>
      </c>
      <c r="O112" s="72" t="n">
        <f aca="false">(O109*O107+O110*O24+O111*O108)/1000</f>
        <v>0.00212843945205932</v>
      </c>
      <c r="P112" s="72" t="n">
        <f aca="false">(P109*P107+P110*P24+P111*P108)/1000</f>
        <v>0.00753068269335203</v>
      </c>
      <c r="Q112" s="72" t="n">
        <f aca="false">(Q109*Q107+Q110*Q24+Q111*Q108)/1000</f>
        <v>0.0443502439344209</v>
      </c>
      <c r="R112" s="72" t="n">
        <f aca="false">(R109*R107+R110*R24+R111*R108)/1000</f>
        <v>0.0177703179988921</v>
      </c>
      <c r="S112" s="72" t="n">
        <f aca="false">(S109*S107+S110*S24+S111*S108)/1000</f>
        <v>0.104934615366301</v>
      </c>
    </row>
    <row r="113" customFormat="false" ht="15" hidden="false" customHeight="false" outlineLevel="0" collapsed="false">
      <c r="A113" s="61" t="s">
        <v>818</v>
      </c>
      <c r="B113" s="61" t="s">
        <v>817</v>
      </c>
      <c r="C113" s="72" t="n">
        <f aca="false">C67*C107/1000</f>
        <v>0.00685623678105678</v>
      </c>
      <c r="D113" s="72" t="n">
        <f aca="false">D67*D107/1000</f>
        <v>0.0279133125968021</v>
      </c>
      <c r="E113" s="72" t="n">
        <f aca="false">E67*E107/1000</f>
        <v>0.0849476673713997</v>
      </c>
      <c r="F113" s="72" t="n">
        <f aca="false">F67*F107/1000</f>
        <v>0.00232602730109338</v>
      </c>
      <c r="G113" s="72" t="n">
        <f aca="false">G67*G107/1000</f>
        <v>0.00946979067926937</v>
      </c>
      <c r="H113" s="72" t="n">
        <f aca="false">H67*H107/1000</f>
        <v>0.0288191029248</v>
      </c>
      <c r="I113" s="72" t="n">
        <f aca="false">I67*I107/1000</f>
        <v>0.00180913234529485</v>
      </c>
      <c r="J113" s="72" t="n">
        <f aca="false">J67*J107/1000</f>
        <v>0.00736539275054285</v>
      </c>
      <c r="K113" s="72" t="n">
        <f aca="false">K67*K107/1000</f>
        <v>0.0224148578304</v>
      </c>
      <c r="L113" s="72" t="n">
        <f aca="false">L67*L107/1000</f>
        <v>0.000996868843325733</v>
      </c>
      <c r="M113" s="72" t="n">
        <f aca="false">M67*M107/1000</f>
        <v>0.00405848171968688</v>
      </c>
      <c r="N113" s="72" t="n">
        <f aca="false">N67*N107/1000</f>
        <v>0.0123510441106286</v>
      </c>
      <c r="O113" s="72" t="n">
        <f aca="false">O67*O107/1000</f>
        <v>0.000996868843325733</v>
      </c>
      <c r="P113" s="72" t="n">
        <f aca="false">P67*P107/1000</f>
        <v>0.00405848171968688</v>
      </c>
      <c r="Q113" s="72" t="n">
        <f aca="false">Q67*Q107/1000</f>
        <v>0.0123510441106286</v>
      </c>
      <c r="R113" s="72" t="n">
        <f aca="false">R67*R107/1000</f>
        <v>0.00811696343937375</v>
      </c>
      <c r="S113" s="72" t="n">
        <f aca="false">S67*S107/1000</f>
        <v>0.0247020882212571</v>
      </c>
    </row>
    <row r="114" customFormat="false" ht="15" hidden="false" customHeight="false" outlineLevel="0" collapsed="false">
      <c r="A114" s="60" t="s">
        <v>819</v>
      </c>
      <c r="B114" s="61" t="s">
        <v>743</v>
      </c>
      <c r="C114" s="74" t="n">
        <f aca="false">IF(ISNUMBER(C95),(C97*C113+C96*C112)/1000,C95)</f>
        <v>0.69683451728655</v>
      </c>
      <c r="D114" s="74" t="n">
        <f aca="false">IF(ISNUMBER(D95),(D97*D113+D96*D112)/1000,D95)</f>
        <v>0.829245248676968</v>
      </c>
      <c r="E114" s="74" t="n">
        <f aca="false">IF(ISNUMBER(E95),(E97*E113+E96*E112)/1000,E95)</f>
        <v>0.848069793920458</v>
      </c>
      <c r="F114" s="74" t="n">
        <f aca="false">IF(ISNUMBER(F95),(F97*F113+F96*F112)/1000,F95)</f>
        <v>2.36754843970606</v>
      </c>
      <c r="G114" s="74" t="n">
        <f aca="false">IF(ISNUMBER(G95),(G97*G113+G96*G112)/1000,G95)</f>
        <v>2.79287770234441</v>
      </c>
      <c r="H114" s="74" t="n">
        <f aca="false">IF(ISNUMBER(H95),(H97*H113+H96*H112)/1000,H95)</f>
        <v>3.47439900063841</v>
      </c>
      <c r="I114" s="74" t="n">
        <f aca="false">IF(ISNUMBER(I95),(I97*I113+I96*I112)/1000,I95)</f>
        <v>2.77346971472352</v>
      </c>
      <c r="J114" s="74" t="n">
        <f aca="false">IF(ISNUMBER(J95),(J97*J113+J96*J112)/1000,J95)</f>
        <v>3.17444998700417</v>
      </c>
      <c r="K114" s="74" t="n">
        <f aca="false">IF(ISNUMBER(K95),(K97*K113+K96*K112)/1000,K95)</f>
        <v>4.30245932344883</v>
      </c>
      <c r="L114" s="74" t="n">
        <f aca="false">IF(ISNUMBER(L95),(L97*L113+L96*L112)/1000,L95)</f>
        <v>2.76726027368164</v>
      </c>
      <c r="M114" s="74" t="n">
        <f aca="false">IF(ISNUMBER(M95),(M97*M113+M96*M112)/1000,M95)</f>
        <v>3.11868241484556</v>
      </c>
      <c r="N114" s="74" t="n">
        <f aca="false">IF(ISNUMBER(N95),(N97*N113+N96*N112)/1000,N95)</f>
        <v>4.48396659334732</v>
      </c>
      <c r="O114" s="74" t="n">
        <f aca="false">IF(ISNUMBER(O95),(O97*O113+O96*O112)/1000,O95)</f>
        <v>7.06515150690385</v>
      </c>
      <c r="P114" s="74" t="n">
        <f aca="false">IF(ISNUMBER(P95),(P97*P113+P96*P112)/1000,P95)</f>
        <v>7.20369261768011</v>
      </c>
      <c r="Q114" s="74" t="n">
        <f aca="false">IF(ISNUMBER(Q95),(Q97*Q113+Q96*Q112)/1000,Q95)</f>
        <v>9.16082784986032</v>
      </c>
      <c r="R114" s="74" t="n">
        <f aca="false">IF(ISNUMBER(R95),(R97*R113+R96*R112)/1000,R95)</f>
        <v>4.03972626245038</v>
      </c>
      <c r="S114" s="74" t="n">
        <f aca="false">IF(ISNUMBER(S95),(S97*S113+S96*S112)/1000,S95)</f>
        <v>5.11241319913998</v>
      </c>
    </row>
    <row r="115" customFormat="false" ht="15" hidden="false" customHeight="false" outlineLevel="0" collapsed="false">
      <c r="A115" s="60" t="s">
        <v>820</v>
      </c>
      <c r="B115" s="61" t="s">
        <v>743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</row>
    <row r="116" customFormat="false" ht="15" hidden="false" customHeight="false" outlineLevel="0" collapsed="false">
      <c r="A116" s="60" t="s">
        <v>821</v>
      </c>
      <c r="B116" s="61" t="s">
        <v>99</v>
      </c>
      <c r="C116" s="118" t="n">
        <f aca="false">IF(ISNUMBER(C114),IF(C115&gt;0,C114/C115,0),C114)</f>
        <v>0.0212449547953216</v>
      </c>
      <c r="D116" s="118" t="n">
        <f aca="false">IF(ISNUMBER(D114),IF(D115&gt;0,D114/D115,0),D114)</f>
        <v>0.0252818673377124</v>
      </c>
      <c r="E116" s="118" t="n">
        <f aca="false">IF(ISNUMBER(E114),IF(E115&gt;0,E114/E115,0),E114)</f>
        <v>0.0258557864000139</v>
      </c>
      <c r="F116" s="118" t="n">
        <f aca="false">IF(ISNUMBER(F114),IF(F115&gt;0,F114/F115,0),F114)</f>
        <v>0.0224199662850953</v>
      </c>
      <c r="G116" s="118" t="n">
        <f aca="false">IF(ISNUMBER(G114),IF(G115&gt;0,G114/G115,0),G114)</f>
        <v>0.0264477055146251</v>
      </c>
      <c r="H116" s="118" t="n">
        <f aca="false">IF(ISNUMBER(H114),IF(H115&gt;0,H114/H115,0),H114)</f>
        <v>0.0329015056878638</v>
      </c>
      <c r="I116" s="118" t="n">
        <f aca="false">IF(ISNUMBER(I114),IF(I115&gt;0,I114/I115,0),I114)</f>
        <v>0.0254914495838559</v>
      </c>
      <c r="J116" s="118" t="n">
        <f aca="false">IF(ISNUMBER(J114),IF(J115&gt;0,J114/J115,0),J114)</f>
        <v>0.0291769300276119</v>
      </c>
      <c r="K116" s="118" t="n">
        <f aca="false">IF(ISNUMBER(K114),IF(K115&gt;0,K114/K115,0),K114)</f>
        <v>0.0395446628993459</v>
      </c>
      <c r="L116" s="118" t="n">
        <f aca="false">IF(ISNUMBER(L114),IF(L115&gt;0,L114/L115,0),L114)</f>
        <v>0.0152382173660883</v>
      </c>
      <c r="M116" s="118" t="n">
        <f aca="false">IF(ISNUMBER(M114),IF(M115&gt;0,M114/M115,0),M114)</f>
        <v>0.0171733613152289</v>
      </c>
      <c r="N116" s="118" t="n">
        <f aca="false">IF(ISNUMBER(N114),IF(N115&gt;0,N114/N115,0),N114)</f>
        <v>0.0246914459986086</v>
      </c>
      <c r="O116" s="118" t="n">
        <f aca="false">IF(ISNUMBER(O114),IF(O115&gt;0,O114/O115,0),O114)</f>
        <v>0.0259748217165583</v>
      </c>
      <c r="P116" s="118" t="n">
        <f aca="false">IF(ISNUMBER(P114),IF(P115&gt;0,P114/P115,0),P114)</f>
        <v>0.0264841640355886</v>
      </c>
      <c r="Q116" s="118" t="n">
        <f aca="false">IF(ISNUMBER(Q114),IF(Q115&gt;0,Q114/Q115,0),Q114)</f>
        <v>0.0336795141538982</v>
      </c>
      <c r="R116" s="85" t="n">
        <f aca="false">IF(ISNUMBER(R114),IF(R115&gt;0,R114/R115,0),R114)</f>
        <v>0.022245188669881</v>
      </c>
      <c r="S116" s="85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1" t="s">
        <v>822</v>
      </c>
      <c r="B117" s="61" t="s">
        <v>823</v>
      </c>
      <c r="C117" s="119" t="n">
        <f aca="false">IF(ISNUMBER(C95),C95/(C115*1000),C95)</f>
        <v>1.69328446517796</v>
      </c>
      <c r="D117" s="119" t="n">
        <f aca="false">IF(ISNUMBER(D95),D95/(D115*1000),D95)</f>
        <v>0.438498910565563</v>
      </c>
      <c r="E117" s="119" t="n">
        <f aca="false">IF(ISNUMBER(E95),E95/(E115*1000),E95)</f>
        <v>0.101756011128593</v>
      </c>
      <c r="F117" s="119" t="n">
        <f aca="false">IF(ISNUMBER(F95),F95/(F115*1000),F95)</f>
        <v>5.41124773941745</v>
      </c>
      <c r="G117" s="119" t="n">
        <f aca="false">IF(ISNUMBER(G95),G95/(G115*1000),G95)</f>
        <v>1.46562881909746</v>
      </c>
      <c r="H117" s="119" t="n">
        <f aca="false">IF(ISNUMBER(H95),H95/(H115*1000),H95)</f>
        <v>0.3390531828493</v>
      </c>
      <c r="I117" s="119" t="n">
        <f aca="false">IF(ISNUMBER(I95),I95/(I115*1000),I95)</f>
        <v>7.87814009121071</v>
      </c>
      <c r="J117" s="119" t="n">
        <f aca="false">IF(ISNUMBER(J95),J95/(J115*1000),J95)</f>
        <v>2.133783133686</v>
      </c>
      <c r="K117" s="119" t="n">
        <f aca="false">IF(ISNUMBER(K95),K95/(K115*1000),K95)</f>
        <v>0.476129895490562</v>
      </c>
      <c r="L117" s="119" t="n">
        <f aca="false">IF(ISNUMBER(L95),L95/(L115*1000),L95)</f>
        <v>8.37573673561519</v>
      </c>
      <c r="M117" s="119" t="n">
        <f aca="false">IF(ISNUMBER(M95),M95/(M115*1000),M95)</f>
        <v>2.33108475982769</v>
      </c>
      <c r="N117" s="119" t="n">
        <f aca="false">IF(ISNUMBER(N95),N95/(N115*1000),N95)</f>
        <v>0.550687365335692</v>
      </c>
      <c r="O117" s="119" t="n">
        <f aca="false">IF(ISNUMBER(O95),O95/(O115*1000),O95)</f>
        <v>14.832167225307</v>
      </c>
      <c r="P117" s="119" t="n">
        <f aca="false">IF(ISNUMBER(P95),P95/(P115*1000),P95)</f>
        <v>4.15549829790262</v>
      </c>
      <c r="Q117" s="119" t="n">
        <f aca="false">IF(ISNUMBER(Q95),Q95/(Q115*1000),Q95)</f>
        <v>0.999871456498272</v>
      </c>
      <c r="R117" s="71" t="n">
        <f aca="false">IF(ISNUMBER(R95),R95/(R115*1000),R95)</f>
        <v>1.52861281586735</v>
      </c>
      <c r="S117" s="71" t="n">
        <f aca="false">IF(ISNUMBER(S95),S95/(S115*1000),S95)</f>
        <v>0.360044721412184</v>
      </c>
    </row>
    <row r="118" customFormat="false" ht="15" hidden="false" customHeight="false" outlineLevel="0" collapsed="false">
      <c r="A118" s="60" t="s">
        <v>824</v>
      </c>
      <c r="B118" s="61" t="s">
        <v>817</v>
      </c>
      <c r="C118" s="114" t="n">
        <f aca="false">IF(ISNUMBER(C96),IF(C96&gt;0,C115*1000*(1-C94)/C96,0),C96)</f>
        <v>0.830049196882983</v>
      </c>
      <c r="D118" s="114" t="n">
        <f aca="false">IF(ISNUMBER(D96),IF(D96&gt;0,D115*1000*(1-D94)/D96,0),D96)</f>
        <v>3.1935736825846</v>
      </c>
      <c r="E118" s="114" t="n">
        <f aca="false">IF(ISNUMBER(E96),IF(E96&gt;0,E115*1000*(1-E94)/E96,0),E96)</f>
        <v>14.0497519766453</v>
      </c>
      <c r="F118" s="114" t="n">
        <f aca="false">IF(ISNUMBER(F96),IF(F96&gt;0,F115*1000*(1-F94)/F96,0),F96)</f>
        <v>0.26930338673328</v>
      </c>
      <c r="G118" s="114" t="n">
        <f aca="false">IF(ISNUMBER(G96),IF(G96&gt;0,G115*1000*(1-G94)/G96,0),G96)</f>
        <v>0.991300966981193</v>
      </c>
      <c r="H118" s="114" t="n">
        <f aca="false">IF(ISNUMBER(H96),IF(H96&gt;0,H115*1000*(1-H94)/H96,0),H96)</f>
        <v>4.32624207035938</v>
      </c>
      <c r="I118" s="114" t="n">
        <f aca="false">IF(ISNUMBER(I96),IF(I96&gt;0,I115*1000*(1-I94)/I96,0),I96)</f>
        <v>0.184976063614778</v>
      </c>
      <c r="J118" s="114" t="n">
        <f aca="false">IF(ISNUMBER(J96),IF(J96&gt;0,J115*1000*(1-J94)/J96,0),J96)</f>
        <v>0.680893593482031</v>
      </c>
      <c r="K118" s="114" t="n">
        <f aca="false">IF(ISNUMBER(K96),IF(K96&gt;0,K115*1000*(1-K94)/K96,0),K96)</f>
        <v>3.08319575120444</v>
      </c>
      <c r="L118" s="114" t="n">
        <f aca="false">IF(ISNUMBER(L96),IF(L96&gt;0,L115*1000*(1-L94)/L96,0),L96)</f>
        <v>0.175208592671887</v>
      </c>
      <c r="M118" s="114" t="n">
        <f aca="false">IF(ISNUMBER(M96),IF(M96&gt;0,M115*1000*(1-M94)/M96,0),M96)</f>
        <v>0.627680342938307</v>
      </c>
      <c r="N118" s="114" t="n">
        <f aca="false">IF(ISNUMBER(N96),IF(N96&gt;0,N115*1000*(1-N94)/N96,0),N96)</f>
        <v>2.67579436417166</v>
      </c>
      <c r="O118" s="114" t="n">
        <f aca="false">IF(ISNUMBER(O96),IF(O96&gt;0,O115*1000*(1-O94)/O96,0),O96)</f>
        <v>0.0982257210457662</v>
      </c>
      <c r="P118" s="114" t="n">
        <f aca="false">IF(ISNUMBER(P96),IF(P96&gt;0,P115*1000*(1-P94)/P96,0),P96)</f>
        <v>0.349137261103676</v>
      </c>
      <c r="Q118" s="114" t="n">
        <f aca="false">IF(ISNUMBER(Q96),IF(Q96&gt;0,Q115*1000*(1-Q94)/Q96,0),Q96)</f>
        <v>1.4641901394441</v>
      </c>
      <c r="R118" s="114" t="n">
        <f aca="false">IF(ISNUMBER(R96),IF(R96&gt;0,R115*1000*(1-R94)/R96,0),R96)</f>
        <v>0.949688037340664</v>
      </c>
      <c r="S118" s="114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5" t="s">
        <v>998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</row>
    <row r="120" customFormat="false" ht="15" hidden="false" customHeight="false" outlineLevel="0" collapsed="false">
      <c r="A120" s="61" t="s">
        <v>999</v>
      </c>
      <c r="B120" s="61" t="s">
        <v>99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0.0210859665436146</v>
      </c>
      <c r="G120" s="103" t="n">
        <f aca="false">IF(G88&gt;0,G88*G65*1000000000/(G14*1000000000000000),0)</f>
        <v>0.0197239686793334</v>
      </c>
      <c r="H120" s="103" t="n">
        <f aca="false">IF(H88&gt;0,H88*H65*1000000000/(H14*1000000000000000),0)</f>
        <v>0.0176648275535936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1" t="s">
        <v>1000</v>
      </c>
      <c r="B121" s="61" t="s">
        <v>99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0.0421719330872292</v>
      </c>
      <c r="G121" s="143" t="n">
        <f aca="false">IF(G88&gt;0,G88*G65*1000000000/(INDEX(Spec_Rack!$C$40:$G$40,G$6)*1000000000000000),0)</f>
        <v>0.0394479373586667</v>
      </c>
      <c r="H121" s="143" t="n">
        <f aca="false">IF(H88&gt;0,H88*H65*1000000000/(INDEX(Spec_Rack!$C$40:$G$40,H$6)*1000000000000000),0)</f>
        <v>0.0353296551071871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7" t="s">
        <v>1001</v>
      </c>
    </row>
    <row r="2" customFormat="false" ht="15" hidden="false" customHeight="false" outlineLevel="0" collapsed="false">
      <c r="A2" s="73" t="s">
        <v>1002</v>
      </c>
    </row>
    <row r="4" customFormat="false" ht="15" hidden="false" customHeight="false" outlineLevel="0" collapsed="false">
      <c r="A4" s="59" t="s">
        <v>171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9" t="s">
        <v>722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</row>
    <row r="6" customFormat="false" ht="15" hidden="false" customHeight="false" outlineLevel="0" collapsed="false">
      <c r="A6" s="59" t="s">
        <v>452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59" t="s">
        <v>723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</row>
    <row r="9" customFormat="false" ht="15" hidden="false" customHeight="false" outlineLevel="0" collapsed="false">
      <c r="A9" s="75" t="s">
        <v>1003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1004</v>
      </c>
      <c r="B10" s="61" t="s">
        <v>476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0" t="s">
        <v>1005</v>
      </c>
      <c r="B11" s="61" t="s">
        <v>103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0" t="s">
        <v>1006</v>
      </c>
      <c r="B12" s="61" t="s">
        <v>476</v>
      </c>
      <c r="C12" s="115" t="n">
        <f aca="false">C10*C11</f>
        <v>1.979</v>
      </c>
      <c r="D12" s="115" t="n">
        <f aca="false">D10*D11</f>
        <v>1.979</v>
      </c>
      <c r="E12" s="115" t="n">
        <f aca="false">E10*E11</f>
        <v>1.979</v>
      </c>
      <c r="F12" s="115" t="n">
        <f aca="false">F10*F11</f>
        <v>5</v>
      </c>
      <c r="G12" s="115" t="n">
        <f aca="false">G10*G11</f>
        <v>5</v>
      </c>
      <c r="H12" s="115" t="n">
        <f aca="false">H10*H11</f>
        <v>5</v>
      </c>
      <c r="I12" s="115" t="n">
        <f aca="false">I10*I11</f>
        <v>5</v>
      </c>
      <c r="J12" s="115" t="n">
        <f aca="false">J10*J11</f>
        <v>5</v>
      </c>
      <c r="K12" s="115" t="n">
        <f aca="false">K10*K11</f>
        <v>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35</v>
      </c>
      <c r="P12" s="115" t="n">
        <f aca="false">P10*P11</f>
        <v>35</v>
      </c>
      <c r="Q12" s="115" t="n">
        <f aca="false">Q10*Q11</f>
        <v>35</v>
      </c>
    </row>
    <row r="13" customFormat="false" ht="15" hidden="false" customHeight="false" outlineLevel="0" collapsed="false">
      <c r="A13" s="60" t="s">
        <v>1007</v>
      </c>
      <c r="B13" s="61" t="s">
        <v>99</v>
      </c>
      <c r="C13" s="64" t="n">
        <f aca="false">Train_In!$C$6</f>
        <v>0.25</v>
      </c>
      <c r="D13" s="64" t="n">
        <f aca="false">Train_In!$C$6</f>
        <v>0.25</v>
      </c>
      <c r="E13" s="64" t="n">
        <f aca="false">Train_In!$C$6</f>
        <v>0.25</v>
      </c>
      <c r="F13" s="64" t="n">
        <f aca="false">Train_In!$C$6</f>
        <v>0.25</v>
      </c>
      <c r="G13" s="64" t="n">
        <f aca="false">Train_In!$C$6</f>
        <v>0.25</v>
      </c>
      <c r="H13" s="64" t="n">
        <f aca="false">Train_In!$C$6</f>
        <v>0.25</v>
      </c>
      <c r="I13" s="64" t="n">
        <f aca="false">Train_In!$C$6</f>
        <v>0.25</v>
      </c>
      <c r="J13" s="64" t="n">
        <f aca="false">Train_In!$C$6</f>
        <v>0.25</v>
      </c>
      <c r="K13" s="64" t="n">
        <f aca="false">Train_In!$C$6</f>
        <v>0.25</v>
      </c>
      <c r="L13" s="64" t="n">
        <f aca="false">Train_In!$C$6</f>
        <v>0.25</v>
      </c>
      <c r="M13" s="64" t="n">
        <f aca="false">Train_In!$C$6</f>
        <v>0.25</v>
      </c>
      <c r="N13" s="64" t="n">
        <f aca="false">Train_In!$C$6</f>
        <v>0.25</v>
      </c>
      <c r="O13" s="64" t="n">
        <f aca="false">Train_In!$C$6</f>
        <v>0.25</v>
      </c>
      <c r="P13" s="64" t="n">
        <f aca="false">Train_In!$C$6</f>
        <v>0.25</v>
      </c>
      <c r="Q13" s="64" t="n">
        <f aca="false">Train_In!$C$6</f>
        <v>0.25</v>
      </c>
    </row>
    <row r="14" customFormat="false" ht="15" hidden="false" customHeight="false" outlineLevel="0" collapsed="false">
      <c r="A14" s="61" t="s">
        <v>1008</v>
      </c>
      <c r="B14" s="61" t="s">
        <v>103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0" t="s">
        <v>1009</v>
      </c>
      <c r="B15" s="61" t="s">
        <v>103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0" t="s">
        <v>1010</v>
      </c>
      <c r="B16" s="61" t="s">
        <v>99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1" t="s">
        <v>1011</v>
      </c>
      <c r="B17" s="61" t="s">
        <v>99</v>
      </c>
      <c r="C17" s="64" t="n">
        <f aca="false">Train_In!$C$7</f>
        <v>0.9</v>
      </c>
      <c r="D17" s="64" t="n">
        <f aca="false">Train_In!$C$7</f>
        <v>0.9</v>
      </c>
      <c r="E17" s="64" t="n">
        <f aca="false">Train_In!$C$7</f>
        <v>0.9</v>
      </c>
      <c r="F17" s="64" t="n">
        <f aca="false">Train_In!$C$7</f>
        <v>0.9</v>
      </c>
      <c r="G17" s="64" t="n">
        <f aca="false">Train_In!$C$7</f>
        <v>0.9</v>
      </c>
      <c r="H17" s="64" t="n">
        <f aca="false">Train_In!$C$7</f>
        <v>0.9</v>
      </c>
      <c r="I17" s="64" t="n">
        <f aca="false">Train_In!$C$7</f>
        <v>0.9</v>
      </c>
      <c r="J17" s="64" t="n">
        <f aca="false">Train_In!$C$7</f>
        <v>0.9</v>
      </c>
      <c r="K17" s="64" t="n">
        <f aca="false">Train_In!$C$7</f>
        <v>0.9</v>
      </c>
      <c r="L17" s="64" t="n">
        <f aca="false">Train_In!$C$7</f>
        <v>0.9</v>
      </c>
      <c r="M17" s="64" t="n">
        <f aca="false">Train_In!$C$7</f>
        <v>0.9</v>
      </c>
      <c r="N17" s="64" t="n">
        <f aca="false">Train_In!$C$7</f>
        <v>0.9</v>
      </c>
      <c r="O17" s="64" t="n">
        <f aca="false">Train_In!$C$7</f>
        <v>0.9</v>
      </c>
      <c r="P17" s="64" t="n">
        <f aca="false">Train_In!$C$7</f>
        <v>0.9</v>
      </c>
      <c r="Q17" s="64" t="n">
        <f aca="false">Train_In!$C$7</f>
        <v>0.9</v>
      </c>
    </row>
    <row r="18" customFormat="false" ht="15" hidden="false" customHeight="false" outlineLevel="0" collapsed="false">
      <c r="A18" s="60" t="s">
        <v>1012</v>
      </c>
      <c r="B18" s="60" t="s">
        <v>735</v>
      </c>
      <c r="C18" s="62" t="n">
        <f aca="false">INDEX(DC_Cost!$C$14:$Q$14,3*(C$6-1)+2)/CTL_GW</f>
        <v>718048</v>
      </c>
      <c r="D18" s="62" t="n">
        <f aca="false">INDEX(DC_Cost!$C$14:$Q$14,3*(D$6-1)+2)/CTL_GW</f>
        <v>718048</v>
      </c>
      <c r="E18" s="62" t="n">
        <f aca="false">INDEX(DC_Cost!$C$14:$Q$14,3*(E$6-1)+2)/CTL_GW</f>
        <v>718048</v>
      </c>
      <c r="F18" s="62" t="n">
        <f aca="false">INDEX(DC_Cost!$C$14:$Q$14,3*(F$6-1)+2)/CTL_GW</f>
        <v>501768</v>
      </c>
      <c r="G18" s="62" t="n">
        <f aca="false">INDEX(DC_Cost!$C$14:$Q$14,3*(G$6-1)+2)/CTL_GW</f>
        <v>501768</v>
      </c>
      <c r="H18" s="62" t="n">
        <f aca="false">INDEX(DC_Cost!$C$14:$Q$14,3*(H$6-1)+2)/CTL_GW</f>
        <v>501768</v>
      </c>
      <c r="I18" s="62" t="n">
        <f aca="false">INDEX(DC_Cost!$C$14:$Q$14,3*(I$6-1)+2)/CTL_GW</f>
        <v>487008</v>
      </c>
      <c r="J18" s="62" t="n">
        <f aca="false">INDEX(DC_Cost!$C$14:$Q$14,3*(J$6-1)+2)/CTL_GW</f>
        <v>487008</v>
      </c>
      <c r="K18" s="62" t="n">
        <f aca="false">INDEX(DC_Cost!$C$14:$Q$14,3*(K$6-1)+2)/CTL_GW</f>
        <v>487008</v>
      </c>
      <c r="L18" s="62" t="n">
        <f aca="false">INDEX(DC_Cost!$C$14:$Q$14,3*(L$6-1)+2)/CTL_GW</f>
        <v>291744</v>
      </c>
      <c r="M18" s="62" t="n">
        <f aca="false">INDEX(DC_Cost!$C$14:$Q$14,3*(M$6-1)+2)/CTL_GW</f>
        <v>291744</v>
      </c>
      <c r="N18" s="62" t="n">
        <f aca="false">INDEX(DC_Cost!$C$14:$Q$14,3*(N$6-1)+2)/CTL_GW</f>
        <v>291744</v>
      </c>
      <c r="O18" s="62" t="n">
        <f aca="false">INDEX(DC_Cost!$C$14:$Q$14,3*(O$6-1)+2)/CTL_GW</f>
        <v>194760</v>
      </c>
      <c r="P18" s="62" t="n">
        <f aca="false">INDEX(DC_Cost!$C$14:$Q$14,3*(P$6-1)+2)/CTL_GW</f>
        <v>194760</v>
      </c>
      <c r="Q18" s="62" t="n">
        <f aca="false">INDEX(DC_Cost!$C$14:$Q$14,3*(Q$6-1)+2)/CTL_GW</f>
        <v>194760</v>
      </c>
    </row>
    <row r="19" customFormat="false" ht="15" hidden="false" customHeight="false" outlineLevel="0" collapsed="false">
      <c r="A19" s="60" t="s">
        <v>1013</v>
      </c>
      <c r="B19" s="61" t="s">
        <v>852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</row>
    <row r="20" customFormat="false" ht="15" hidden="false" customHeight="false" outlineLevel="0" collapsed="false">
      <c r="A20" s="60" t="s">
        <v>1014</v>
      </c>
      <c r="B20" s="61" t="s">
        <v>852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</row>
    <row r="21" customFormat="false" ht="15" hidden="false" customHeight="false" outlineLevel="0" collapsed="false">
      <c r="A21" s="75" t="s">
        <v>1015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customFormat="false" ht="15" hidden="false" customHeight="false" outlineLevel="0" collapsed="false">
      <c r="A22" s="60" t="s">
        <v>274</v>
      </c>
      <c r="B22" s="61" t="s">
        <v>271</v>
      </c>
      <c r="C22" s="62" t="n">
        <f aca="false">INDEX(Arch!$C$7:$E$7,C$7)*INDEX(ARCH_ScaleGen,1,C$6)</f>
        <v>13</v>
      </c>
      <c r="D22" s="62" t="n">
        <f aca="false">INDEX(Arch!$C$7:$E$7,D$7)*INDEX(ARCH_ScaleGen,1,D$6)</f>
        <v>49</v>
      </c>
      <c r="E22" s="62" t="n">
        <f aca="false">INDEX(Arch!$C$7:$E$7,E$7)*INDEX(ARCH_ScaleGen,1,E$6)</f>
        <v>180</v>
      </c>
      <c r="F22" s="62" t="n">
        <f aca="false">INDEX(Arch!$C$7:$E$7,F$7)*INDEX(ARCH_ScaleGen,1,F$6)</f>
        <v>13</v>
      </c>
      <c r="G22" s="62" t="n">
        <f aca="false">INDEX(Arch!$C$7:$E$7,G$7)*INDEX(ARCH_ScaleGen,1,G$6)</f>
        <v>49</v>
      </c>
      <c r="H22" s="62" t="n">
        <f aca="false">INDEX(Arch!$C$7:$E$7,H$7)*INDEX(ARCH_ScaleGen,1,H$6)</f>
        <v>180</v>
      </c>
      <c r="I22" s="62" t="n">
        <f aca="false">INDEX(Arch!$C$7:$E$7,I$7)*INDEX(ARCH_ScaleGen,1,I$6)</f>
        <v>13</v>
      </c>
      <c r="J22" s="62" t="n">
        <f aca="false">INDEX(Arch!$C$7:$E$7,J$7)*INDEX(ARCH_ScaleGen,1,J$6)</f>
        <v>49</v>
      </c>
      <c r="K22" s="62" t="n">
        <f aca="false">INDEX(Arch!$C$7:$E$7,K$7)*INDEX(ARCH_ScaleGen,1,K$6)</f>
        <v>180</v>
      </c>
      <c r="L22" s="62" t="n">
        <f aca="false">INDEX(Arch!$C$7:$E$7,L$7)*INDEX(ARCH_ScaleGen,1,L$6)</f>
        <v>13</v>
      </c>
      <c r="M22" s="62" t="n">
        <f aca="false">INDEX(Arch!$C$7:$E$7,M$7)*INDEX(ARCH_ScaleGen,1,M$6)</f>
        <v>49</v>
      </c>
      <c r="N22" s="62" t="n">
        <f aca="false">INDEX(Arch!$C$7:$E$7,N$7)*INDEX(ARCH_ScaleGen,1,N$6)</f>
        <v>180</v>
      </c>
      <c r="O22" s="62" t="n">
        <f aca="false">INDEX(Arch!$C$7:$E$7,O$7)*INDEX(ARCH_ScaleGen,1,O$6)</f>
        <v>13</v>
      </c>
      <c r="P22" s="62" t="n">
        <f aca="false">INDEX(Arch!$C$7:$E$7,P$7)*INDEX(ARCH_ScaleGen,1,P$6)</f>
        <v>49</v>
      </c>
      <c r="Q22" s="62" t="n">
        <f aca="false">INDEX(Arch!$C$7:$E$7,Q$7)*INDEX(ARCH_ScaleGen,1,Q$6)</f>
        <v>180</v>
      </c>
    </row>
    <row r="23" customFormat="false" ht="15" hidden="false" customHeight="false" outlineLevel="0" collapsed="false">
      <c r="A23" s="60" t="s">
        <v>487</v>
      </c>
      <c r="B23" s="61" t="s">
        <v>314</v>
      </c>
      <c r="C23" s="62" t="n">
        <f aca="false">INDEX(Arch!$C$30:$E$30,C$7)</f>
        <v>5636096</v>
      </c>
      <c r="D23" s="62" t="n">
        <f aca="false">INDEX(Arch!$C$30:$E$30,D$7)</f>
        <v>15990784</v>
      </c>
      <c r="E23" s="62" t="n">
        <f aca="false">INDEX(Arch!$C$30:$E$30,E$7)</f>
        <v>4915200</v>
      </c>
      <c r="F23" s="62" t="n">
        <f aca="false">INDEX(Arch!$C$30:$E$30,F$7)</f>
        <v>5636096</v>
      </c>
      <c r="G23" s="62" t="n">
        <f aca="false">INDEX(Arch!$C$30:$E$30,G$7)</f>
        <v>15990784</v>
      </c>
      <c r="H23" s="62" t="n">
        <f aca="false">INDEX(Arch!$C$30:$E$30,H$7)</f>
        <v>4915200</v>
      </c>
      <c r="I23" s="62" t="n">
        <f aca="false">INDEX(Arch!$C$30:$E$30,I$7)</f>
        <v>5636096</v>
      </c>
      <c r="J23" s="62" t="n">
        <f aca="false">INDEX(Arch!$C$30:$E$30,J$7)</f>
        <v>15990784</v>
      </c>
      <c r="K23" s="62" t="n">
        <f aca="false">INDEX(Arch!$C$30:$E$30,K$7)</f>
        <v>4915200</v>
      </c>
      <c r="L23" s="62" t="n">
        <f aca="false">INDEX(Arch!$C$30:$E$30,L$7)</f>
        <v>5636096</v>
      </c>
      <c r="M23" s="62" t="n">
        <f aca="false">INDEX(Arch!$C$30:$E$30,M$7)</f>
        <v>15990784</v>
      </c>
      <c r="N23" s="62" t="n">
        <f aca="false">INDEX(Arch!$C$30:$E$30,N$7)</f>
        <v>4915200</v>
      </c>
      <c r="O23" s="62" t="n">
        <f aca="false">INDEX(Arch!$C$30:$E$30,O$7)</f>
        <v>5636096</v>
      </c>
      <c r="P23" s="62" t="n">
        <f aca="false">INDEX(Arch!$C$30:$E$30,P$7)</f>
        <v>15990784</v>
      </c>
      <c r="Q23" s="62" t="n">
        <f aca="false">INDEX(Arch!$C$30:$E$30,Q$7)</f>
        <v>4915200</v>
      </c>
    </row>
    <row r="24" customFormat="false" ht="15" hidden="false" customHeight="false" outlineLevel="0" collapsed="false">
      <c r="A24" s="60" t="s">
        <v>289</v>
      </c>
      <c r="B24" s="61" t="s">
        <v>99</v>
      </c>
      <c r="C24" s="64" t="n">
        <f aca="false">INDEX(Arch!$C$16:$E$16,C$7)</f>
        <v>0.512</v>
      </c>
      <c r="D24" s="64" t="n">
        <f aca="false">INDEX(Arch!$C$16:$E$16,D$7)</f>
        <v>0.492</v>
      </c>
      <c r="E24" s="64" t="n">
        <f aca="false">INDEX(Arch!$C$16:$E$16,E$7)</f>
        <v>1</v>
      </c>
      <c r="F24" s="64" t="n">
        <f aca="false">INDEX(Arch!$C$16:$E$16,F$7)</f>
        <v>0.512</v>
      </c>
      <c r="G24" s="64" t="n">
        <f aca="false">INDEX(Arch!$C$16:$E$16,G$7)</f>
        <v>0.492</v>
      </c>
      <c r="H24" s="64" t="n">
        <f aca="false">INDEX(Arch!$C$16:$E$16,H$7)</f>
        <v>1</v>
      </c>
      <c r="I24" s="64" t="n">
        <f aca="false">INDEX(Arch!$C$16:$E$16,I$7)</f>
        <v>0.512</v>
      </c>
      <c r="J24" s="64" t="n">
        <f aca="false">INDEX(Arch!$C$16:$E$16,J$7)</f>
        <v>0.492</v>
      </c>
      <c r="K24" s="64" t="n">
        <f aca="false">INDEX(Arch!$C$16:$E$16,K$7)</f>
        <v>1</v>
      </c>
      <c r="L24" s="64" t="n">
        <f aca="false">INDEX(Arch!$C$16:$E$16,L$7)</f>
        <v>0.512</v>
      </c>
      <c r="M24" s="64" t="n">
        <f aca="false">INDEX(Arch!$C$16:$E$16,M$7)</f>
        <v>0.492</v>
      </c>
      <c r="N24" s="64" t="n">
        <f aca="false">INDEX(Arch!$C$16:$E$16,N$7)</f>
        <v>1</v>
      </c>
      <c r="O24" s="64" t="n">
        <f aca="false">INDEX(Arch!$C$16:$E$16,O$7)</f>
        <v>0.512</v>
      </c>
      <c r="P24" s="64" t="n">
        <f aca="false">INDEX(Arch!$C$16:$E$16,P$7)</f>
        <v>0.492</v>
      </c>
      <c r="Q24" s="64" t="n">
        <f aca="false">INDEX(Arch!$C$16:$E$16,Q$7)</f>
        <v>1</v>
      </c>
    </row>
    <row r="25" customFormat="false" ht="15" hidden="false" customHeight="false" outlineLevel="0" collapsed="false">
      <c r="A25" s="60" t="s">
        <v>747</v>
      </c>
      <c r="B25" s="61" t="s">
        <v>292</v>
      </c>
      <c r="C25" s="62" t="n">
        <f aca="false">INDEX(Arch!$C$17:$E$17,C$7)</f>
        <v>4224</v>
      </c>
      <c r="D25" s="62" t="n">
        <f aca="false">INDEX(Arch!$C$17:$E$17,D$7)</f>
        <v>4224</v>
      </c>
      <c r="E25" s="62" t="n">
        <f aca="false">INDEX(Arch!$C$17:$E$17,E$7)</f>
        <v>0</v>
      </c>
      <c r="F25" s="62" t="n">
        <f aca="false">INDEX(Arch!$C$17:$E$17,F$7)</f>
        <v>4224</v>
      </c>
      <c r="G25" s="62" t="n">
        <f aca="false">INDEX(Arch!$C$17:$E$17,G$7)</f>
        <v>4224</v>
      </c>
      <c r="H25" s="62" t="n">
        <f aca="false">INDEX(Arch!$C$17:$E$17,H$7)</f>
        <v>0</v>
      </c>
      <c r="I25" s="62" t="n">
        <f aca="false">INDEX(Arch!$C$17:$E$17,I$7)</f>
        <v>4224</v>
      </c>
      <c r="J25" s="62" t="n">
        <f aca="false">INDEX(Arch!$C$17:$E$17,J$7)</f>
        <v>4224</v>
      </c>
      <c r="K25" s="62" t="n">
        <f aca="false">INDEX(Arch!$C$17:$E$17,K$7)</f>
        <v>0</v>
      </c>
      <c r="L25" s="62" t="n">
        <f aca="false">INDEX(Arch!$C$17:$E$17,L$7)</f>
        <v>4224</v>
      </c>
      <c r="M25" s="62" t="n">
        <f aca="false">INDEX(Arch!$C$17:$E$17,M$7)</f>
        <v>4224</v>
      </c>
      <c r="N25" s="62" t="n">
        <f aca="false">INDEX(Arch!$C$17:$E$17,N$7)</f>
        <v>0</v>
      </c>
      <c r="O25" s="62" t="n">
        <f aca="false">INDEX(Arch!$C$17:$E$17,O$7)</f>
        <v>4224</v>
      </c>
      <c r="P25" s="62" t="n">
        <f aca="false">INDEX(Arch!$C$17:$E$17,P$7)</f>
        <v>4224</v>
      </c>
      <c r="Q25" s="62" t="n">
        <f aca="false">INDEX(Arch!$C$17:$E$17,Q$7)</f>
        <v>0</v>
      </c>
    </row>
    <row r="26" customFormat="false" ht="15" hidden="false" customHeight="false" outlineLevel="0" collapsed="false">
      <c r="A26" s="60" t="s">
        <v>294</v>
      </c>
      <c r="B26" s="61" t="s">
        <v>103</v>
      </c>
      <c r="C26" s="62" t="n">
        <f aca="false">INDEX(Arch!$C$18:$E$18,C$7)</f>
        <v>128</v>
      </c>
      <c r="D26" s="62" t="n">
        <f aca="false">INDEX(Arch!$C$18:$E$18,D$7)</f>
        <v>128</v>
      </c>
      <c r="E26" s="62" t="n">
        <f aca="false">INDEX(Arch!$C$18:$E$18,E$7)</f>
        <v>1</v>
      </c>
      <c r="F26" s="62" t="n">
        <f aca="false">INDEX(Arch!$C$18:$E$18,F$7)</f>
        <v>128</v>
      </c>
      <c r="G26" s="62" t="n">
        <f aca="false">INDEX(Arch!$C$18:$E$18,G$7)</f>
        <v>128</v>
      </c>
      <c r="H26" s="62" t="n">
        <f aca="false">INDEX(Arch!$C$18:$E$18,H$7)</f>
        <v>1</v>
      </c>
      <c r="I26" s="62" t="n">
        <f aca="false">INDEX(Arch!$C$18:$E$18,I$7)</f>
        <v>128</v>
      </c>
      <c r="J26" s="62" t="n">
        <f aca="false">INDEX(Arch!$C$18:$E$18,J$7)</f>
        <v>128</v>
      </c>
      <c r="K26" s="62" t="n">
        <f aca="false">INDEX(Arch!$C$18:$E$18,K$7)</f>
        <v>1</v>
      </c>
      <c r="L26" s="62" t="n">
        <f aca="false">INDEX(Arch!$C$18:$E$18,L$7)</f>
        <v>128</v>
      </c>
      <c r="M26" s="62" t="n">
        <f aca="false">INDEX(Arch!$C$18:$E$18,M$7)</f>
        <v>128</v>
      </c>
      <c r="N26" s="62" t="n">
        <f aca="false">INDEX(Arch!$C$18:$E$18,N$7)</f>
        <v>1</v>
      </c>
      <c r="O26" s="62" t="n">
        <f aca="false">INDEX(Arch!$C$18:$E$18,O$7)</f>
        <v>128</v>
      </c>
      <c r="P26" s="62" t="n">
        <f aca="false">INDEX(Arch!$C$18:$E$18,P$7)</f>
        <v>128</v>
      </c>
      <c r="Q26" s="62" t="n">
        <f aca="false">INDEX(Arch!$C$18:$E$18,Q$7)</f>
        <v>1</v>
      </c>
    </row>
    <row r="27" customFormat="false" ht="15" hidden="false" customHeight="false" outlineLevel="0" collapsed="false">
      <c r="A27" s="60" t="s">
        <v>296</v>
      </c>
      <c r="B27" s="61" t="s">
        <v>292</v>
      </c>
      <c r="C27" s="62" t="n">
        <f aca="false">INDEX(Arch!$C$19:$E$19,C$7)</f>
        <v>128</v>
      </c>
      <c r="D27" s="62" t="n">
        <f aca="false">INDEX(Arch!$C$19:$E$19,D$7)</f>
        <v>128</v>
      </c>
      <c r="E27" s="62" t="n">
        <f aca="false">INDEX(Arch!$C$19:$E$19,E$7)</f>
        <v>0</v>
      </c>
      <c r="F27" s="62" t="n">
        <f aca="false">INDEX(Arch!$C$19:$E$19,F$7)</f>
        <v>128</v>
      </c>
      <c r="G27" s="62" t="n">
        <f aca="false">INDEX(Arch!$C$19:$E$19,G$7)</f>
        <v>128</v>
      </c>
      <c r="H27" s="62" t="n">
        <f aca="false">INDEX(Arch!$C$19:$E$19,H$7)</f>
        <v>0</v>
      </c>
      <c r="I27" s="62" t="n">
        <f aca="false">INDEX(Arch!$C$19:$E$19,I$7)</f>
        <v>128</v>
      </c>
      <c r="J27" s="62" t="n">
        <f aca="false">INDEX(Arch!$C$19:$E$19,J$7)</f>
        <v>128</v>
      </c>
      <c r="K27" s="62" t="n">
        <f aca="false">INDEX(Arch!$C$19:$E$19,K$7)</f>
        <v>0</v>
      </c>
      <c r="L27" s="62" t="n">
        <f aca="false">INDEX(Arch!$C$19:$E$19,L$7)</f>
        <v>128</v>
      </c>
      <c r="M27" s="62" t="n">
        <f aca="false">INDEX(Arch!$C$19:$E$19,M$7)</f>
        <v>128</v>
      </c>
      <c r="N27" s="62" t="n">
        <f aca="false">INDEX(Arch!$C$19:$E$19,N$7)</f>
        <v>0</v>
      </c>
      <c r="O27" s="62" t="n">
        <f aca="false">INDEX(Arch!$C$19:$E$19,O$7)</f>
        <v>128</v>
      </c>
      <c r="P27" s="62" t="n">
        <f aca="false">INDEX(Arch!$C$19:$E$19,P$7)</f>
        <v>128</v>
      </c>
      <c r="Q27" s="62" t="n">
        <f aca="false">INDEX(Arch!$C$19:$E$19,Q$7)</f>
        <v>0</v>
      </c>
    </row>
    <row r="28" customFormat="false" ht="15" hidden="false" customHeight="false" outlineLevel="0" collapsed="false">
      <c r="A28" s="61" t="s">
        <v>725</v>
      </c>
      <c r="B28" s="61" t="s">
        <v>103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5" t="s">
        <v>1016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</row>
    <row r="30" customFormat="false" ht="15" hidden="false" customHeight="false" outlineLevel="0" collapsed="false">
      <c r="A30" s="60" t="s">
        <v>1017</v>
      </c>
      <c r="B30" s="61" t="s">
        <v>103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0" t="s">
        <v>953</v>
      </c>
      <c r="B31" s="61" t="s">
        <v>954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0" t="s">
        <v>1018</v>
      </c>
      <c r="B32" s="61" t="s">
        <v>292</v>
      </c>
      <c r="C32" s="62" t="n">
        <f aca="false">INDEX(Train_In!$C$26:$E$26,C$7)</f>
        <v>4096</v>
      </c>
      <c r="D32" s="62" t="n">
        <f aca="false">INDEX(Train_In!$C$26:$E$26,D$7)</f>
        <v>4096</v>
      </c>
      <c r="E32" s="62" t="n">
        <f aca="false">INDEX(Train_In!$C$26:$E$26,E$7)</f>
        <v>8192</v>
      </c>
      <c r="F32" s="62" t="n">
        <f aca="false">INDEX(Train_In!$C$26:$E$26,F$7)</f>
        <v>4096</v>
      </c>
      <c r="G32" s="62" t="n">
        <f aca="false">INDEX(Train_In!$C$26:$E$26,G$7)</f>
        <v>4096</v>
      </c>
      <c r="H32" s="62" t="n">
        <f aca="false">INDEX(Train_In!$C$26:$E$26,H$7)</f>
        <v>8192</v>
      </c>
      <c r="I32" s="62" t="n">
        <f aca="false">INDEX(Train_In!$C$26:$E$26,I$7)</f>
        <v>4096</v>
      </c>
      <c r="J32" s="62" t="n">
        <f aca="false">INDEX(Train_In!$C$26:$E$26,J$7)</f>
        <v>4096</v>
      </c>
      <c r="K32" s="62" t="n">
        <f aca="false">INDEX(Train_In!$C$26:$E$26,K$7)</f>
        <v>8192</v>
      </c>
      <c r="L32" s="62" t="n">
        <f aca="false">INDEX(Train_In!$C$26:$E$26,L$7)</f>
        <v>4096</v>
      </c>
      <c r="M32" s="62" t="n">
        <f aca="false">INDEX(Train_In!$C$26:$E$26,M$7)</f>
        <v>4096</v>
      </c>
      <c r="N32" s="62" t="n">
        <f aca="false">INDEX(Train_In!$C$26:$E$26,N$7)</f>
        <v>8192</v>
      </c>
      <c r="O32" s="62" t="n">
        <f aca="false">INDEX(Train_In!$C$26:$E$26,O$7)</f>
        <v>4096</v>
      </c>
      <c r="P32" s="62" t="n">
        <f aca="false">INDEX(Train_In!$C$26:$E$26,P$7)</f>
        <v>4096</v>
      </c>
      <c r="Q32" s="62" t="n">
        <f aca="false">INDEX(Train_In!$C$26:$E$26,Q$7)</f>
        <v>8192</v>
      </c>
    </row>
    <row r="33" customFormat="false" ht="15" hidden="false" customHeight="false" outlineLevel="0" collapsed="false">
      <c r="A33" s="60" t="s">
        <v>1019</v>
      </c>
      <c r="B33" s="61" t="s">
        <v>292</v>
      </c>
      <c r="C33" s="67" t="n">
        <f aca="false">C32/2</f>
        <v>2048</v>
      </c>
      <c r="D33" s="67" t="n">
        <f aca="false">D32/2</f>
        <v>2048</v>
      </c>
      <c r="E33" s="67" t="n">
        <f aca="false">E32/2</f>
        <v>4096</v>
      </c>
      <c r="F33" s="67" t="n">
        <f aca="false">F32/2</f>
        <v>2048</v>
      </c>
      <c r="G33" s="67" t="n">
        <f aca="false">G32/2</f>
        <v>2048</v>
      </c>
      <c r="H33" s="67" t="n">
        <f aca="false">H32/2</f>
        <v>4096</v>
      </c>
      <c r="I33" s="67" t="n">
        <f aca="false">I32/2</f>
        <v>2048</v>
      </c>
      <c r="J33" s="67" t="n">
        <f aca="false">J32/2</f>
        <v>2048</v>
      </c>
      <c r="K33" s="67" t="n">
        <f aca="false">K32/2</f>
        <v>4096</v>
      </c>
      <c r="L33" s="67" t="n">
        <f aca="false">L32/2</f>
        <v>2048</v>
      </c>
      <c r="M33" s="67" t="n">
        <f aca="false">M32/2</f>
        <v>2048</v>
      </c>
      <c r="N33" s="67" t="n">
        <f aca="false">N32/2</f>
        <v>4096</v>
      </c>
      <c r="O33" s="67" t="n">
        <f aca="false">O32/2</f>
        <v>2048</v>
      </c>
      <c r="P33" s="67" t="n">
        <f aca="false">P32/2</f>
        <v>2048</v>
      </c>
      <c r="Q33" s="67" t="n">
        <f aca="false">Q32/2</f>
        <v>4096</v>
      </c>
    </row>
    <row r="34" customFormat="false" ht="15" hidden="false" customHeight="false" outlineLevel="0" collapsed="false">
      <c r="A34" s="60" t="s">
        <v>1020</v>
      </c>
      <c r="B34" s="61" t="s">
        <v>493</v>
      </c>
      <c r="C34" s="74" t="n">
        <f aca="false">3*(2*C22*1000000000+C23*C33)*C28/1000000000</f>
        <v>112.628173824</v>
      </c>
      <c r="D34" s="74" t="n">
        <f aca="false">3*(2*D22*1000000000+D23*D33)*D28/1000000000</f>
        <v>392.247376896</v>
      </c>
      <c r="E34" s="74" t="n">
        <f aca="false">3*(2*E22*1000000000+E23*E33)*E28/1000000000</f>
        <v>1140.3979776</v>
      </c>
      <c r="F34" s="74" t="n">
        <f aca="false">3*(2*F22*1000000000+F23*F33)*F28/1000000000</f>
        <v>112.628173824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112.628173824</v>
      </c>
      <c r="J34" s="74" t="n">
        <f aca="false">3*(2*J22*1000000000+J23*J33)*J28/1000000000</f>
        <v>392.247376896</v>
      </c>
      <c r="K34" s="74" t="n">
        <f aca="false">3*(2*K22*1000000000+K23*K33)*K28/1000000000</f>
        <v>1140.3979776</v>
      </c>
      <c r="L34" s="74" t="n">
        <f aca="false">3*(2*L22*1000000000+L23*L33)*L28/1000000000</f>
        <v>112.628173824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112.628173824</v>
      </c>
      <c r="P34" s="74" t="n">
        <f aca="false">3*(2*P22*1000000000+P23*P33)*P28/1000000000</f>
        <v>392.247376896</v>
      </c>
      <c r="Q34" s="74" t="n">
        <f aca="false">3*(2*Q22*1000000000+Q23*Q33)*Q28/1000000000</f>
        <v>1140.3979776</v>
      </c>
    </row>
    <row r="35" customFormat="false" ht="15" hidden="false" customHeight="false" outlineLevel="0" collapsed="false">
      <c r="A35" s="60" t="s">
        <v>1021</v>
      </c>
      <c r="B35" s="61" t="s">
        <v>314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0" t="s">
        <v>1022</v>
      </c>
      <c r="B36" s="61" t="s">
        <v>1023</v>
      </c>
      <c r="C36" s="70" t="n">
        <f aca="false">C35/(C12*1000000000000000*C16*1*C17)/3600</f>
        <v>2248361.8502723</v>
      </c>
      <c r="D36" s="70" t="n">
        <f aca="false">D35/(D12*1000000000000000*D16*1*D17)/3600</f>
        <v>8075011.96986132</v>
      </c>
      <c r="E36" s="70" t="n">
        <f aca="false">E35/(E12*1000000000000000*E16*1*E17)/3600</f>
        <v>42685156.2742126</v>
      </c>
      <c r="F36" s="70" t="n">
        <f aca="false">F35/(F12*1000000000000000*F16*1*F17)/3600</f>
        <v>889901.620337778</v>
      </c>
      <c r="G36" s="70" t="n">
        <f aca="false">G35/(G12*1000000000000000*G16*1*G17)/3600</f>
        <v>3196089.73767111</v>
      </c>
      <c r="H36" s="70" t="n">
        <f aca="false">H35/(H12*1000000000000000*H16*1*H17)/3600</f>
        <v>16894784.8533333</v>
      </c>
      <c r="I36" s="70" t="n">
        <f aca="false">I35/(I12*1000000000000000*I16*1*I17)/3600</f>
        <v>889901.620337778</v>
      </c>
      <c r="J36" s="70" t="n">
        <f aca="false">J35/(J12*1000000000000000*J16*1*J17)/3600</f>
        <v>3196089.73767111</v>
      </c>
      <c r="K36" s="70" t="n">
        <f aca="false">K35/(K12*1000000000000000*K16*1*K17)/3600</f>
        <v>16894784.8533333</v>
      </c>
      <c r="L36" s="70" t="n">
        <f aca="false">L35/(L12*1000000000000000*L16*1*L17)/3600</f>
        <v>282508.450900882</v>
      </c>
      <c r="M36" s="70" t="n">
        <f aca="false">M35/(M12*1000000000000000*M16*1*M17)/3600</f>
        <v>1014631.66275273</v>
      </c>
      <c r="N36" s="70" t="n">
        <f aca="false">N35/(N12*1000000000000000*N16*1*N17)/3600</f>
        <v>5363423.76296296</v>
      </c>
      <c r="O36" s="70" t="n">
        <f aca="false">O35/(O12*1000000000000000*O16*1*O17)/3600</f>
        <v>141254.225450441</v>
      </c>
      <c r="P36" s="70" t="n">
        <f aca="false">P35/(P12*1000000000000000*P16*1*P17)/3600</f>
        <v>507315.831376367</v>
      </c>
      <c r="Q36" s="70" t="n">
        <f aca="false">Q35/(Q12*1000000000000000*Q16*1*Q17)/3600</f>
        <v>2681711.88148148</v>
      </c>
    </row>
    <row r="37" customFormat="false" ht="15" hidden="false" customHeight="false" outlineLevel="0" collapsed="false">
      <c r="A37" s="75" t="s">
        <v>1024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customFormat="false" ht="15" hidden="false" customHeight="false" outlineLevel="0" collapsed="false">
      <c r="A38" s="60" t="s">
        <v>1025</v>
      </c>
      <c r="B38" s="61" t="s">
        <v>954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0" t="s">
        <v>1018</v>
      </c>
      <c r="B39" s="61" t="s">
        <v>292</v>
      </c>
      <c r="C39" s="62" t="n">
        <f aca="false">INDEX(Train_In!$C$28:$E$28,C$7)</f>
        <v>131072</v>
      </c>
      <c r="D39" s="62" t="n">
        <f aca="false">INDEX(Train_In!$C$28:$E$28,D$7)</f>
        <v>131072</v>
      </c>
      <c r="E39" s="62" t="n">
        <f aca="false">INDEX(Train_In!$C$28:$E$28,E$7)</f>
        <v>131072</v>
      </c>
      <c r="F39" s="62" t="n">
        <f aca="false">INDEX(Train_In!$C$28:$E$28,F$7)</f>
        <v>131072</v>
      </c>
      <c r="G39" s="62" t="n">
        <f aca="false">INDEX(Train_In!$C$28:$E$28,G$7)</f>
        <v>131072</v>
      </c>
      <c r="H39" s="62" t="n">
        <f aca="false">INDEX(Train_In!$C$28:$E$28,H$7)</f>
        <v>131072</v>
      </c>
      <c r="I39" s="62" t="n">
        <f aca="false">INDEX(Train_In!$C$28:$E$28,I$7)</f>
        <v>131072</v>
      </c>
      <c r="J39" s="62" t="n">
        <f aca="false">INDEX(Train_In!$C$28:$E$28,J$7)</f>
        <v>131072</v>
      </c>
      <c r="K39" s="62" t="n">
        <f aca="false">INDEX(Train_In!$C$28:$E$28,K$7)</f>
        <v>131072</v>
      </c>
      <c r="L39" s="62" t="n">
        <f aca="false">INDEX(Train_In!$C$28:$E$28,L$7)</f>
        <v>131072</v>
      </c>
      <c r="M39" s="62" t="n">
        <f aca="false">INDEX(Train_In!$C$28:$E$28,M$7)</f>
        <v>131072</v>
      </c>
      <c r="N39" s="62" t="n">
        <f aca="false">INDEX(Train_In!$C$28:$E$28,N$7)</f>
        <v>131072</v>
      </c>
      <c r="O39" s="62" t="n">
        <f aca="false">INDEX(Train_In!$C$28:$E$28,O$7)</f>
        <v>131072</v>
      </c>
      <c r="P39" s="62" t="n">
        <f aca="false">INDEX(Train_In!$C$28:$E$28,P$7)</f>
        <v>131072</v>
      </c>
      <c r="Q39" s="62" t="n">
        <f aca="false">INDEX(Train_In!$C$28:$E$28,Q$7)</f>
        <v>131072</v>
      </c>
    </row>
    <row r="40" customFormat="false" ht="15" hidden="false" customHeight="false" outlineLevel="0" collapsed="false">
      <c r="A40" s="60" t="s">
        <v>1026</v>
      </c>
      <c r="B40" s="61" t="s">
        <v>292</v>
      </c>
      <c r="C40" s="67" t="n">
        <f aca="false">C24*IF(C25=0,C39/2,MIN(C39/2,C25))+(1-C24)*(C39/2/C26+C27)</f>
        <v>2475.008</v>
      </c>
      <c r="D40" s="67" t="n">
        <f aca="false">D24*IF(D25=0,D39/2,MIN(D39/2,D25))+(1-D24)*(D39/2/D26+D27)</f>
        <v>2403.328</v>
      </c>
      <c r="E40" s="67" t="n">
        <f aca="false">E24*IF(E25=0,E39/2,MIN(E39/2,E25))+(1-E24)*(E39/2/E26+E27)</f>
        <v>65536</v>
      </c>
      <c r="F40" s="67" t="n">
        <f aca="false">F24*IF(F25=0,F39/2,MIN(F39/2,F25))+(1-F24)*(F39/2/F26+F27)</f>
        <v>2475.008</v>
      </c>
      <c r="G40" s="67" t="n">
        <f aca="false">G24*IF(G25=0,G39/2,MIN(G39/2,G25))+(1-G24)*(G39/2/G26+G27)</f>
        <v>2403.328</v>
      </c>
      <c r="H40" s="67" t="n">
        <f aca="false">H24*IF(H25=0,H39/2,MIN(H39/2,H25))+(1-H24)*(H39/2/H26+H27)</f>
        <v>65536</v>
      </c>
      <c r="I40" s="67" t="n">
        <f aca="false">I24*IF(I25=0,I39/2,MIN(I39/2,I25))+(1-I24)*(I39/2/I26+I27)</f>
        <v>2475.008</v>
      </c>
      <c r="J40" s="67" t="n">
        <f aca="false">J24*IF(J25=0,J39/2,MIN(J39/2,J25))+(1-J24)*(J39/2/J26+J27)</f>
        <v>2403.328</v>
      </c>
      <c r="K40" s="67" t="n">
        <f aca="false">K24*IF(K25=0,K39/2,MIN(K39/2,K25))+(1-K24)*(K39/2/K26+K27)</f>
        <v>65536</v>
      </c>
      <c r="L40" s="67" t="n">
        <f aca="false">L24*IF(L25=0,L39/2,MIN(L39/2,L25))+(1-L24)*(L39/2/L26+L27)</f>
        <v>2475.008</v>
      </c>
      <c r="M40" s="67" t="n">
        <f aca="false">M24*IF(M25=0,M39/2,MIN(M39/2,M25))+(1-M24)*(M39/2/M26+M27)</f>
        <v>2403.328</v>
      </c>
      <c r="N40" s="67" t="n">
        <f aca="false">N24*IF(N25=0,N39/2,MIN(N39/2,N25))+(1-N24)*(N39/2/N26+N27)</f>
        <v>65536</v>
      </c>
      <c r="O40" s="67" t="n">
        <f aca="false">O24*IF(O25=0,O39/2,MIN(O39/2,O25))+(1-O24)*(O39/2/O26+O27)</f>
        <v>2475.008</v>
      </c>
      <c r="P40" s="67" t="n">
        <f aca="false">P24*IF(P25=0,P39/2,MIN(P39/2,P25))+(1-P24)*(P39/2/P26+P27)</f>
        <v>2403.328</v>
      </c>
      <c r="Q40" s="67" t="n">
        <f aca="false">Q24*IF(Q25=0,Q39/2,MIN(Q39/2,Q25))+(1-Q24)*(Q39/2/Q26+Q27)</f>
        <v>65536</v>
      </c>
    </row>
    <row r="41" customFormat="false" ht="15" hidden="false" customHeight="false" outlineLevel="0" collapsed="false">
      <c r="A41" s="60" t="s">
        <v>1020</v>
      </c>
      <c r="B41" s="61" t="s">
        <v>493</v>
      </c>
      <c r="C41" s="74" t="n">
        <f aca="false">3*(2*C22*1000000000+C23*C40)*C28/1000000000</f>
        <v>119.848148066304</v>
      </c>
      <c r="D41" s="74" t="n">
        <f aca="false">3*(2*D22*1000000000+D23*D40)*D28/1000000000</f>
        <v>409.293296787456</v>
      </c>
      <c r="E41" s="74" t="n">
        <f aca="false">3*(2*E22*1000000000+E23*E40)*E28/1000000000</f>
        <v>2046.3676416</v>
      </c>
      <c r="F41" s="74" t="n">
        <f aca="false">3*(2*F22*1000000000+F23*F40)*F28/1000000000</f>
        <v>119.848148066304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119.848148066304</v>
      </c>
      <c r="J41" s="74" t="n">
        <f aca="false">3*(2*J22*1000000000+J23*J40)*J28/1000000000</f>
        <v>409.293296787456</v>
      </c>
      <c r="K41" s="74" t="n">
        <f aca="false">3*(2*K22*1000000000+K23*K40)*K28/1000000000</f>
        <v>2046.3676416</v>
      </c>
      <c r="L41" s="74" t="n">
        <f aca="false">3*(2*L22*1000000000+L23*L40)*L28/1000000000</f>
        <v>119.848148066304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119.848148066304</v>
      </c>
      <c r="P41" s="74" t="n">
        <f aca="false">3*(2*P22*1000000000+P23*P40)*P28/1000000000</f>
        <v>409.293296787456</v>
      </c>
      <c r="Q41" s="74" t="n">
        <f aca="false">3*(2*Q22*1000000000+Q23*Q40)*Q28/1000000000</f>
        <v>2046.3676416</v>
      </c>
    </row>
    <row r="42" customFormat="false" ht="15" hidden="false" customHeight="false" outlineLevel="0" collapsed="false">
      <c r="A42" s="60" t="s">
        <v>1027</v>
      </c>
      <c r="B42" s="61" t="s">
        <v>314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0" t="s">
        <v>1028</v>
      </c>
      <c r="B43" s="61" t="s">
        <v>1023</v>
      </c>
      <c r="C43" s="67" t="n">
        <f aca="false">C42/(C12*1000000000000000*C16*1*C17)/3600</f>
        <v>74765.3747473809</v>
      </c>
      <c r="D43" s="67" t="n">
        <f aca="false">D42/(D12*1000000000000000*D16*1*D17)/3600</f>
        <v>255331.160386188</v>
      </c>
      <c r="E43" s="67" t="n">
        <f aca="false">E42/(E12*1000000000000000*E16*1*E17)/3600</f>
        <v>2553188.28139914</v>
      </c>
      <c r="F43" s="67" t="n">
        <f aca="false">F42/(F12*1000000000000000*F16*1*F17)/3600</f>
        <v>29592.1353250133</v>
      </c>
      <c r="G43" s="67" t="n">
        <f aca="false">G42/(G12*1000000000000000*G16*1*G17)/3600</f>
        <v>101060.073280853</v>
      </c>
      <c r="H43" s="67" t="n">
        <f aca="false">H42/(H12*1000000000000000*H16*1*H17)/3600</f>
        <v>1010551.92177778</v>
      </c>
      <c r="I43" s="67" t="n">
        <f aca="false">I42/(I12*1000000000000000*I16*1*I17)/3600</f>
        <v>29592.1353250133</v>
      </c>
      <c r="J43" s="67" t="n">
        <f aca="false">J42/(J12*1000000000000000*J16*1*J17)/3600</f>
        <v>101060.073280853</v>
      </c>
      <c r="K43" s="67" t="n">
        <f aca="false">K42/(K12*1000000000000000*K16*1*K17)/3600</f>
        <v>1010551.92177778</v>
      </c>
      <c r="L43" s="67" t="n">
        <f aca="false">L42/(L12*1000000000000000*L16*1*L17)/3600</f>
        <v>9394.32867460741</v>
      </c>
      <c r="M43" s="67" t="n">
        <f aca="false">M42/(M12*1000000000000000*M16*1*M17)/3600</f>
        <v>32082.5629463027</v>
      </c>
      <c r="N43" s="67" t="n">
        <f aca="false">N42/(N12*1000000000000000*N16*1*N17)/3600</f>
        <v>320810.133897707</v>
      </c>
      <c r="O43" s="67" t="n">
        <f aca="false">O42/(O12*1000000000000000*O16*1*O17)/3600</f>
        <v>4697.16433730371</v>
      </c>
      <c r="P43" s="67" t="n">
        <f aca="false">P42/(P12*1000000000000000*P16*1*P17)/3600</f>
        <v>16041.2814731513</v>
      </c>
      <c r="Q43" s="67" t="n">
        <f aca="false">Q42/(Q12*1000000000000000*Q16*1*Q17)/3600</f>
        <v>160405.066948854</v>
      </c>
    </row>
    <row r="44" customFormat="false" ht="15" hidden="false" customHeight="false" outlineLevel="0" collapsed="false">
      <c r="A44" s="75" t="s">
        <v>1029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</row>
    <row r="45" customFormat="false" ht="15" hidden="false" customHeight="false" outlineLevel="0" collapsed="false">
      <c r="A45" s="61" t="s">
        <v>961</v>
      </c>
      <c r="B45" s="61" t="s">
        <v>954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0" t="s">
        <v>1018</v>
      </c>
      <c r="B46" s="61" t="s">
        <v>292</v>
      </c>
      <c r="C46" s="62" t="n">
        <f aca="false">INDEX(Train_In!$C$30:$E$30,C$7)</f>
        <v>16384</v>
      </c>
      <c r="D46" s="62" t="n">
        <f aca="false">INDEX(Train_In!$C$30:$E$30,D$7)</f>
        <v>16384</v>
      </c>
      <c r="E46" s="62" t="n">
        <f aca="false">INDEX(Train_In!$C$30:$E$30,E$7)</f>
        <v>16384</v>
      </c>
      <c r="F46" s="62" t="n">
        <f aca="false">INDEX(Train_In!$C$30:$E$30,F$7)</f>
        <v>16384</v>
      </c>
      <c r="G46" s="62" t="n">
        <f aca="false">INDEX(Train_In!$C$30:$E$30,G$7)</f>
        <v>16384</v>
      </c>
      <c r="H46" s="62" t="n">
        <f aca="false">INDEX(Train_In!$C$30:$E$30,H$7)</f>
        <v>16384</v>
      </c>
      <c r="I46" s="62" t="n">
        <f aca="false">INDEX(Train_In!$C$30:$E$30,I$7)</f>
        <v>16384</v>
      </c>
      <c r="J46" s="62" t="n">
        <f aca="false">INDEX(Train_In!$C$30:$E$30,J$7)</f>
        <v>16384</v>
      </c>
      <c r="K46" s="62" t="n">
        <f aca="false">INDEX(Train_In!$C$30:$E$30,K$7)</f>
        <v>16384</v>
      </c>
      <c r="L46" s="62" t="n">
        <f aca="false">INDEX(Train_In!$C$30:$E$30,L$7)</f>
        <v>16384</v>
      </c>
      <c r="M46" s="62" t="n">
        <f aca="false">INDEX(Train_In!$C$30:$E$30,M$7)</f>
        <v>16384</v>
      </c>
      <c r="N46" s="62" t="n">
        <f aca="false">INDEX(Train_In!$C$30:$E$30,N$7)</f>
        <v>16384</v>
      </c>
      <c r="O46" s="62" t="n">
        <f aca="false">INDEX(Train_In!$C$30:$E$30,O$7)</f>
        <v>16384</v>
      </c>
      <c r="P46" s="62" t="n">
        <f aca="false">INDEX(Train_In!$C$30:$E$30,P$7)</f>
        <v>16384</v>
      </c>
      <c r="Q46" s="62" t="n">
        <f aca="false">INDEX(Train_In!$C$30:$E$30,Q$7)</f>
        <v>16384</v>
      </c>
    </row>
    <row r="47" customFormat="false" ht="15" hidden="false" customHeight="false" outlineLevel="0" collapsed="false">
      <c r="A47" s="60" t="s">
        <v>1026</v>
      </c>
      <c r="B47" s="61" t="s">
        <v>292</v>
      </c>
      <c r="C47" s="67" t="n">
        <f aca="false">C24*IF(C25=0,C46/2,MIN(C46/2,C25))+(1-C24)*(C46/2/C26+C27)</f>
        <v>2256.384</v>
      </c>
      <c r="D47" s="67" t="n">
        <f aca="false">D24*IF(D25=0,D46/2,MIN(D46/2,D25))+(1-D24)*(D46/2/D26+D27)</f>
        <v>2175.744</v>
      </c>
      <c r="E47" s="67" t="n">
        <f aca="false">E24*IF(E25=0,E46/2,MIN(E46/2,E25))+(1-E24)*(E46/2/E26+E27)</f>
        <v>8192</v>
      </c>
      <c r="F47" s="67" t="n">
        <f aca="false">F24*IF(F25=0,F46/2,MIN(F46/2,F25))+(1-F24)*(F46/2/F26+F27)</f>
        <v>2256.384</v>
      </c>
      <c r="G47" s="67" t="n">
        <f aca="false">G24*IF(G25=0,G46/2,MIN(G46/2,G25))+(1-G24)*(G46/2/G26+G27)</f>
        <v>2175.744</v>
      </c>
      <c r="H47" s="67" t="n">
        <f aca="false">H24*IF(H25=0,H46/2,MIN(H46/2,H25))+(1-H24)*(H46/2/H26+H27)</f>
        <v>8192</v>
      </c>
      <c r="I47" s="67" t="n">
        <f aca="false">I24*IF(I25=0,I46/2,MIN(I46/2,I25))+(1-I24)*(I46/2/I26+I27)</f>
        <v>2256.384</v>
      </c>
      <c r="J47" s="67" t="n">
        <f aca="false">J24*IF(J25=0,J46/2,MIN(J46/2,J25))+(1-J24)*(J46/2/J26+J27)</f>
        <v>2175.744</v>
      </c>
      <c r="K47" s="67" t="n">
        <f aca="false">K24*IF(K25=0,K46/2,MIN(K46/2,K25))+(1-K24)*(K46/2/K26+K27)</f>
        <v>8192</v>
      </c>
      <c r="L47" s="67" t="n">
        <f aca="false">L24*IF(L25=0,L46/2,MIN(L46/2,L25))+(1-L24)*(L46/2/L26+L27)</f>
        <v>2256.384</v>
      </c>
      <c r="M47" s="67" t="n">
        <f aca="false">M24*IF(M25=0,M46/2,MIN(M46/2,M25))+(1-M24)*(M46/2/M26+M27)</f>
        <v>2175.744</v>
      </c>
      <c r="N47" s="67" t="n">
        <f aca="false">N24*IF(N25=0,N46/2,MIN(N46/2,N25))+(1-N24)*(N46/2/N26+N27)</f>
        <v>8192</v>
      </c>
      <c r="O47" s="67" t="n">
        <f aca="false">O24*IF(O25=0,O46/2,MIN(O46/2,O25))+(1-O24)*(O46/2/O26+O27)</f>
        <v>2256.384</v>
      </c>
      <c r="P47" s="67" t="n">
        <f aca="false">P24*IF(P25=0,P46/2,MIN(P46/2,P25))+(1-P24)*(P46/2/P26+P27)</f>
        <v>2175.744</v>
      </c>
      <c r="Q47" s="67" t="n">
        <f aca="false">Q24*IF(Q25=0,Q46/2,MIN(Q46/2,Q25))+(1-Q24)*(Q46/2/Q26+Q27)</f>
        <v>8192</v>
      </c>
    </row>
    <row r="48" customFormat="false" ht="15" hidden="false" customHeight="false" outlineLevel="0" collapsed="false">
      <c r="A48" s="60" t="s">
        <v>1020</v>
      </c>
      <c r="B48" s="61" t="s">
        <v>493</v>
      </c>
      <c r="C48" s="74" t="n">
        <f aca="false">3*(2*C22*1000000000+C23*C47)*C28/1000000000</f>
        <v>116.151590510592</v>
      </c>
      <c r="D48" s="74" t="n">
        <f aca="false">3*(2*D22*1000000000+D23*D47)*D28/1000000000</f>
        <v>398.375557029888</v>
      </c>
      <c r="E48" s="74" t="n">
        <f aca="false">3*(2*E22*1000000000+E23*E47)*E28/1000000000</f>
        <v>1200.7959552</v>
      </c>
      <c r="F48" s="74" t="n">
        <f aca="false">3*(2*F22*1000000000+F23*F47)*F28/1000000000</f>
        <v>116.151590510592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116.151590510592</v>
      </c>
      <c r="J48" s="74" t="n">
        <f aca="false">3*(2*J22*1000000000+J23*J47)*J28/1000000000</f>
        <v>398.375557029888</v>
      </c>
      <c r="K48" s="74" t="n">
        <f aca="false">3*(2*K22*1000000000+K23*K47)*K28/1000000000</f>
        <v>1200.7959552</v>
      </c>
      <c r="L48" s="74" t="n">
        <f aca="false">3*(2*L22*1000000000+L23*L47)*L28/1000000000</f>
        <v>116.151590510592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116.151590510592</v>
      </c>
      <c r="P48" s="74" t="n">
        <f aca="false">3*(2*P22*1000000000+P23*P47)*P28/1000000000</f>
        <v>398.375557029888</v>
      </c>
      <c r="Q48" s="74" t="n">
        <f aca="false">3*(2*Q22*1000000000+Q23*Q47)*Q28/1000000000</f>
        <v>1200.7959552</v>
      </c>
    </row>
    <row r="49" customFormat="false" ht="15" hidden="false" customHeight="false" outlineLevel="0" collapsed="false">
      <c r="A49" s="61" t="s">
        <v>1030</v>
      </c>
      <c r="B49" s="61" t="s">
        <v>314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1" t="s">
        <v>1031</v>
      </c>
      <c r="B50" s="61" t="s">
        <v>103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1" t="s">
        <v>1032</v>
      </c>
      <c r="B51" s="61" t="s">
        <v>1023</v>
      </c>
      <c r="C51" s="67" t="n">
        <f aca="false">C49/(C12*1000000000000000*C16*C50*C17)/3600</f>
        <v>4528.70848034735</v>
      </c>
      <c r="D51" s="67" t="n">
        <f aca="false">D49/(D12*1000000000000000*D16*D50*D17)/3600</f>
        <v>15532.5188019688</v>
      </c>
      <c r="E51" s="67" t="n">
        <f aca="false">E49/(E12*1000000000000000*E16*E50*E17)/3600</f>
        <v>93637.1994834653</v>
      </c>
      <c r="F51" s="67" t="n">
        <f aca="false">F49/(F12*1000000000000000*F16*F50*F17)/3600</f>
        <v>1792.46281652148</v>
      </c>
      <c r="G51" s="67" t="n">
        <f aca="false">G49/(G12*1000000000000000*G16*G50*G17)/3600</f>
        <v>6147.77094181926</v>
      </c>
      <c r="H51" s="67" t="n">
        <f aca="false">H49/(H12*1000000000000000*H16*H50*H17)/3600</f>
        <v>37061.6035555556</v>
      </c>
      <c r="I51" s="67" t="n">
        <f aca="false">I49/(I12*1000000000000000*I16*I50*I17)/3600</f>
        <v>1792.46281652148</v>
      </c>
      <c r="J51" s="67" t="n">
        <f aca="false">J49/(J12*1000000000000000*J16*J50*J17)/3600</f>
        <v>6147.77094181926</v>
      </c>
      <c r="K51" s="67" t="n">
        <f aca="false">K49/(K12*1000000000000000*K16*K50*K17)/3600</f>
        <v>37061.6035555556</v>
      </c>
      <c r="L51" s="67" t="n">
        <f aca="false">L49/(L12*1000000000000000*L16*L50*L17)/3600</f>
        <v>569.035814768724</v>
      </c>
      <c r="M51" s="67" t="n">
        <f aca="false">M49/(M12*1000000000000000*M16*M50*M17)/3600</f>
        <v>1951.67331486326</v>
      </c>
      <c r="N51" s="67" t="n">
        <f aca="false">N49/(N12*1000000000000000*N16*N50*N17)/3600</f>
        <v>11765.5884303351</v>
      </c>
      <c r="O51" s="67" t="n">
        <f aca="false">O49/(O12*1000000000000000*O16*O50*O17)/3600</f>
        <v>284.517907384362</v>
      </c>
      <c r="P51" s="67" t="n">
        <f aca="false">P49/(P12*1000000000000000*P16*P50*P17)/3600</f>
        <v>975.836657431629</v>
      </c>
      <c r="Q51" s="67" t="n">
        <f aca="false">Q49/(Q12*1000000000000000*Q16*Q50*Q17)/3600</f>
        <v>5882.79421516755</v>
      </c>
    </row>
    <row r="52" customFormat="false" ht="15" hidden="false" customHeight="false" outlineLevel="0" collapsed="false">
      <c r="A52" s="75" t="s">
        <v>1033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</row>
    <row r="53" customFormat="false" ht="15" hidden="false" customHeight="false" outlineLevel="0" collapsed="false">
      <c r="A53" s="61" t="s">
        <v>1034</v>
      </c>
      <c r="B53" s="61" t="s">
        <v>954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0" t="s">
        <v>1035</v>
      </c>
      <c r="B54" s="61" t="s">
        <v>292</v>
      </c>
      <c r="C54" s="62" t="n">
        <f aca="false">INDEX(Perf_Batch!$C$43:$Q$43,3*(C$6-1)+C$7)</f>
        <v>4096</v>
      </c>
      <c r="D54" s="62" t="n">
        <f aca="false">INDEX(Perf_Batch!$C$43:$Q$43,3*(D$6-1)+D$7)</f>
        <v>8192</v>
      </c>
      <c r="E54" s="62" t="n">
        <f aca="false">INDEX(Perf_Batch!$C$43:$Q$43,3*(E$6-1)+E$7)</f>
        <v>16384</v>
      </c>
      <c r="F54" s="62" t="n">
        <f aca="false">INDEX(Perf_Batch!$C$43:$Q$43,3*(F$6-1)+F$7)</f>
        <v>4096</v>
      </c>
      <c r="G54" s="62" t="n">
        <f aca="false">INDEX(Perf_Batch!$C$43:$Q$43,3*(G$6-1)+G$7)</f>
        <v>8192</v>
      </c>
      <c r="H54" s="62" t="n">
        <f aca="false">INDEX(Perf_Batch!$C$43:$Q$43,3*(H$6-1)+H$7)</f>
        <v>16384</v>
      </c>
      <c r="I54" s="62" t="n">
        <f aca="false">INDEX(Perf_Batch!$C$43:$Q$43,3*(I$6-1)+I$7)</f>
        <v>4096</v>
      </c>
      <c r="J54" s="62" t="n">
        <f aca="false">INDEX(Perf_Batch!$C$43:$Q$43,3*(J$6-1)+J$7)</f>
        <v>8192</v>
      </c>
      <c r="K54" s="62" t="n">
        <f aca="false">INDEX(Perf_Batch!$C$43:$Q$43,3*(K$6-1)+K$7)</f>
        <v>16384</v>
      </c>
      <c r="L54" s="62" t="n">
        <f aca="false">INDEX(Perf_Batch!$C$43:$Q$43,3*(L$6-1)+L$7)</f>
        <v>4096</v>
      </c>
      <c r="M54" s="62" t="n">
        <f aca="false">INDEX(Perf_Batch!$C$43:$Q$43,3*(M$6-1)+M$7)</f>
        <v>8192</v>
      </c>
      <c r="N54" s="62" t="n">
        <f aca="false">INDEX(Perf_Batch!$C$43:$Q$43,3*(N$6-1)+N$7)</f>
        <v>16384</v>
      </c>
      <c r="O54" s="62" t="n">
        <f aca="false">INDEX(Perf_Batch!$C$43:$Q$43,3*(O$6-1)+O$7)</f>
        <v>4096</v>
      </c>
      <c r="P54" s="62" t="n">
        <f aca="false">INDEX(Perf_Batch!$C$43:$Q$43,3*(P$6-1)+P$7)</f>
        <v>8192</v>
      </c>
      <c r="Q54" s="62" t="n">
        <f aca="false">INDEX(Perf_Batch!$C$43:$Q$43,3*(Q$6-1)+Q$7)</f>
        <v>16384</v>
      </c>
    </row>
    <row r="55" customFormat="false" ht="15" hidden="false" customHeight="false" outlineLevel="0" collapsed="false">
      <c r="A55" s="60" t="s">
        <v>1036</v>
      </c>
      <c r="B55" s="61" t="s">
        <v>292</v>
      </c>
      <c r="C55" s="62" t="n">
        <f aca="false">INDEX(Perf_Batch!$C$44:$Q$44,3*(C$6-1)+C$7)</f>
        <v>8192</v>
      </c>
      <c r="D55" s="62" t="n">
        <f aca="false">INDEX(Perf_Batch!$C$44:$Q$44,3*(D$6-1)+D$7)</f>
        <v>16384</v>
      </c>
      <c r="E55" s="62" t="n">
        <f aca="false">INDEX(Perf_Batch!$C$44:$Q$44,3*(E$6-1)+E$7)</f>
        <v>32768</v>
      </c>
      <c r="F55" s="62" t="n">
        <f aca="false">INDEX(Perf_Batch!$C$44:$Q$44,3*(F$6-1)+F$7)</f>
        <v>8192</v>
      </c>
      <c r="G55" s="62" t="n">
        <f aca="false">INDEX(Perf_Batch!$C$44:$Q$44,3*(G$6-1)+G$7)</f>
        <v>16384</v>
      </c>
      <c r="H55" s="62" t="n">
        <f aca="false">INDEX(Perf_Batch!$C$44:$Q$44,3*(H$6-1)+H$7)</f>
        <v>32768</v>
      </c>
      <c r="I55" s="62" t="n">
        <f aca="false">INDEX(Perf_Batch!$C$44:$Q$44,3*(I$6-1)+I$7)</f>
        <v>8192</v>
      </c>
      <c r="J55" s="62" t="n">
        <f aca="false">INDEX(Perf_Batch!$C$44:$Q$44,3*(J$6-1)+J$7)</f>
        <v>16384</v>
      </c>
      <c r="K55" s="62" t="n">
        <f aca="false">INDEX(Perf_Batch!$C$44:$Q$44,3*(K$6-1)+K$7)</f>
        <v>32768</v>
      </c>
      <c r="L55" s="62" t="n">
        <f aca="false">INDEX(Perf_Batch!$C$44:$Q$44,3*(L$6-1)+L$7)</f>
        <v>8192</v>
      </c>
      <c r="M55" s="62" t="n">
        <f aca="false">INDEX(Perf_Batch!$C$44:$Q$44,3*(M$6-1)+M$7)</f>
        <v>16384</v>
      </c>
      <c r="N55" s="62" t="n">
        <f aca="false">INDEX(Perf_Batch!$C$44:$Q$44,3*(N$6-1)+N$7)</f>
        <v>32768</v>
      </c>
      <c r="O55" s="62" t="n">
        <f aca="false">INDEX(Perf_Batch!$C$44:$Q$44,3*(O$6-1)+O$7)</f>
        <v>8192</v>
      </c>
      <c r="P55" s="62" t="n">
        <f aca="false">INDEX(Perf_Batch!$C$44:$Q$44,3*(P$6-1)+P$7)</f>
        <v>16384</v>
      </c>
      <c r="Q55" s="62" t="n">
        <f aca="false">INDEX(Perf_Batch!$C$44:$Q$44,3*(Q$6-1)+Q$7)</f>
        <v>32768</v>
      </c>
    </row>
    <row r="56" customFormat="false" ht="15" hidden="false" customHeight="false" outlineLevel="0" collapsed="false">
      <c r="A56" s="60" t="s">
        <v>1037</v>
      </c>
      <c r="B56" s="60" t="s">
        <v>329</v>
      </c>
      <c r="C56" s="67" t="n">
        <f aca="false">C53*1000000000000/C55</f>
        <v>288085937.5</v>
      </c>
      <c r="D56" s="67" t="n">
        <f aca="false">D53*1000000000000/D55</f>
        <v>144042968.75</v>
      </c>
      <c r="E56" s="67" t="n">
        <f aca="false">E53*1000000000000/E55</f>
        <v>292968750</v>
      </c>
      <c r="F56" s="67" t="n">
        <f aca="false">F53*1000000000000/F55</f>
        <v>288085937.5</v>
      </c>
      <c r="G56" s="67" t="n">
        <f aca="false">G53*1000000000000/G55</f>
        <v>144042968.75</v>
      </c>
      <c r="H56" s="67" t="n">
        <f aca="false">H53*1000000000000/H55</f>
        <v>292968750</v>
      </c>
      <c r="I56" s="67" t="n">
        <f aca="false">I53*1000000000000/I55</f>
        <v>288085937.5</v>
      </c>
      <c r="J56" s="67" t="n">
        <f aca="false">J53*1000000000000/J55</f>
        <v>144042968.75</v>
      </c>
      <c r="K56" s="67" t="n">
        <f aca="false">K53*1000000000000/K55</f>
        <v>292968750</v>
      </c>
      <c r="L56" s="67" t="n">
        <f aca="false">L53*1000000000000/L55</f>
        <v>288085937.5</v>
      </c>
      <c r="M56" s="67" t="n">
        <f aca="false">M53*1000000000000/M55</f>
        <v>144042968.75</v>
      </c>
      <c r="N56" s="67" t="n">
        <f aca="false">N53*1000000000000/N55</f>
        <v>292968750</v>
      </c>
      <c r="O56" s="67" t="n">
        <f aca="false">O53*1000000000000/O55</f>
        <v>288085937.5</v>
      </c>
      <c r="P56" s="67" t="n">
        <f aca="false">P53*1000000000000/P55</f>
        <v>144042968.75</v>
      </c>
      <c r="Q56" s="67" t="n">
        <f aca="false">Q53*1000000000000/Q55</f>
        <v>292968750</v>
      </c>
    </row>
    <row r="57" customFormat="false" ht="15" hidden="false" customHeight="false" outlineLevel="0" collapsed="false">
      <c r="A57" s="61" t="s">
        <v>1038</v>
      </c>
      <c r="B57" s="60" t="s">
        <v>329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</row>
    <row r="58" customFormat="false" ht="15" hidden="false" customHeight="false" outlineLevel="0" collapsed="false">
      <c r="A58" s="60" t="s">
        <v>1039</v>
      </c>
      <c r="B58" s="61" t="s">
        <v>954</v>
      </c>
      <c r="C58" s="71" t="n">
        <f aca="false">C56*C54/C57/1000000000000</f>
        <v>0.07375</v>
      </c>
      <c r="D58" s="71" t="n">
        <f aca="false">D56*D54/D57/1000000000000</f>
        <v>0.07375</v>
      </c>
      <c r="E58" s="71" t="n">
        <f aca="false">E56*E54/E57/1000000000000</f>
        <v>0.3</v>
      </c>
      <c r="F58" s="71" t="n">
        <f aca="false">F56*F54/F57/1000000000000</f>
        <v>0.07375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0.07375</v>
      </c>
      <c r="K58" s="71" t="n">
        <f aca="false">K56*K54/K57/1000000000000</f>
        <v>0.3</v>
      </c>
      <c r="L58" s="71" t="n">
        <f aca="false">L56*L54/L57/1000000000000</f>
        <v>0.07375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0.07375</v>
      </c>
      <c r="P58" s="71" t="n">
        <f aca="false">P56*P54/P57/1000000000000</f>
        <v>0.07375</v>
      </c>
      <c r="Q58" s="71" t="n">
        <f aca="false">Q56*Q54/Q57/1000000000000</f>
        <v>0.3</v>
      </c>
    </row>
    <row r="59" customFormat="false" ht="15" hidden="false" customHeight="false" outlineLevel="0" collapsed="false">
      <c r="A59" s="61" t="s">
        <v>1040</v>
      </c>
      <c r="B59" s="61" t="s">
        <v>803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183.615945499964</v>
      </c>
      <c r="G59" s="98" t="n">
        <f aca="false">INDEX(Perf_Batch!$C$103:$Q$103,3*(G$6-1)+G$7)</f>
        <v>675.887022941722</v>
      </c>
      <c r="H59" s="98" t="n">
        <f aca="false">INDEX(Perf_Batch!$C$103:$Q$103,3*(H$6-1)+H$7)</f>
        <v>2949.71050251776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1" t="s">
        <v>1041</v>
      </c>
      <c r="B60" s="61" t="s">
        <v>803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1" t="s">
        <v>1042</v>
      </c>
      <c r="B61" s="61" t="s">
        <v>493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1" t="s">
        <v>1043</v>
      </c>
      <c r="B62" s="61" t="s">
        <v>493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1" t="s">
        <v>1044</v>
      </c>
      <c r="B63" s="61" t="s">
        <v>103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1" t="s">
        <v>1045</v>
      </c>
      <c r="B64" s="61" t="s">
        <v>99</v>
      </c>
      <c r="C64" s="64" t="n">
        <f aca="false">Train_In!$C$11*C63</f>
        <v>0.85</v>
      </c>
      <c r="D64" s="64" t="n">
        <f aca="false">Train_In!$C$11*D63</f>
        <v>0.85</v>
      </c>
      <c r="E64" s="64" t="n">
        <f aca="false">Train_In!$C$11*E63</f>
        <v>0.85</v>
      </c>
      <c r="F64" s="64" t="n">
        <f aca="false">Train_In!$C$11*F63</f>
        <v>0.85</v>
      </c>
      <c r="G64" s="64" t="n">
        <f aca="false">Train_In!$C$11*G63</f>
        <v>0.85</v>
      </c>
      <c r="H64" s="64" t="n">
        <f aca="false">Train_In!$C$11*H63</f>
        <v>0.85</v>
      </c>
      <c r="I64" s="64" t="n">
        <f aca="false">Train_In!$C$11*I63</f>
        <v>0.85</v>
      </c>
      <c r="J64" s="64" t="n">
        <f aca="false">Train_In!$C$11*J63</f>
        <v>0.85</v>
      </c>
      <c r="K64" s="64" t="n">
        <f aca="false">Train_In!$C$11*K63</f>
        <v>0.85</v>
      </c>
      <c r="L64" s="64" t="n">
        <f aca="false">Train_In!$C$11*L63</f>
        <v>0.85</v>
      </c>
      <c r="M64" s="64" t="n">
        <f aca="false">Train_In!$C$11*M63</f>
        <v>0.85</v>
      </c>
      <c r="N64" s="64" t="n">
        <f aca="false">Train_In!$C$11*N63</f>
        <v>0.85</v>
      </c>
      <c r="O64" s="64" t="n">
        <f aca="false">Train_In!$C$11*O63</f>
        <v>0.85</v>
      </c>
      <c r="P64" s="64" t="n">
        <f aca="false">Train_In!$C$11*P63</f>
        <v>0.85</v>
      </c>
      <c r="Q64" s="64" t="n">
        <f aca="false">Train_In!$C$11*Q63</f>
        <v>0.85</v>
      </c>
    </row>
    <row r="65" customFormat="false" ht="15" hidden="false" customHeight="false" outlineLevel="0" collapsed="false">
      <c r="A65" s="61" t="s">
        <v>1046</v>
      </c>
      <c r="B65" s="61" t="s">
        <v>1023</v>
      </c>
      <c r="C65" s="67" t="n">
        <f aca="false">IF(AND(ISNUMBER(C59)),(C53*1000000*C59+C58*1000000*C60)/3600/C64,"SLO 不可達")</f>
        <v>627179.042802979</v>
      </c>
      <c r="D65" s="67" t="n">
        <f aca="false">IF(AND(ISNUMBER(D59)),(D53*1000000*D59+D58*1000000*D60)/3600/D64,"SLO 不可達")</f>
        <v>2413627.93869041</v>
      </c>
      <c r="E65" s="67" t="n">
        <f aca="false">IF(AND(ISNUMBER(E59)),(E53*1000000*E59+E58*1000000*E60)/3600/E64,"SLO 不可達")</f>
        <v>43134849.0717908</v>
      </c>
      <c r="F65" s="67" t="n">
        <f aca="false">IF(AND(ISNUMBER(F59)),(F53*1000000*F59+F58*1000000*F60)/3600/F64,"SLO 不可達")</f>
        <v>141871.836255624</v>
      </c>
      <c r="G65" s="67" t="n">
        <f aca="false">IF(AND(ISNUMBER(G59)),(G53*1000000*G59+G58*1000000*G60)/3600/G64,"SLO 不可達")</f>
        <v>522328.984927028</v>
      </c>
      <c r="H65" s="67" t="n">
        <f aca="false">IF(AND(ISNUMBER(H59)),(H53*1000000*H59+H58*1000000*H60)/3600/H64,"SLO 不可達")</f>
        <v>9267074.29934984</v>
      </c>
      <c r="I65" s="67" t="n">
        <f aca="false">IF(AND(ISNUMBER(I59)),(I53*1000000*I59+I58*1000000*I60)/3600/I64,"SLO 不可達")</f>
        <v>94581.224170416</v>
      </c>
      <c r="J65" s="67" t="n">
        <f aca="false">IF(AND(ISNUMBER(J59)),(J53*1000000*J59+J58*1000000*J60)/3600/J64,"SLO 不可達")</f>
        <v>348219.323284685</v>
      </c>
      <c r="K65" s="67" t="n">
        <f aca="false">IF(AND(ISNUMBER(K59)),(K53*1000000*K59+K58*1000000*K60)/3600/K64,"SLO 不可達")</f>
        <v>6409818.82271434</v>
      </c>
      <c r="L65" s="67" t="n">
        <f aca="false">IF(AND(ISNUMBER(L59)),(L53*1000000*L59+L58*1000000*L60)/3600/L64,"SLO 不可達")</f>
        <v>53649.2093802251</v>
      </c>
      <c r="M65" s="67" t="n">
        <f aca="false">IF(AND(ISNUMBER(M59)),(M53*1000000*M59+M58*1000000*M60)/3600/M64,"SLO 不可達")</f>
        <v>192233.176009909</v>
      </c>
      <c r="N65" s="67" t="n">
        <f aca="false">IF(AND(ISNUMBER(N59)),(N53*1000000*N59+N58*1000000*N60)/3600/N64,"SLO 不可達")</f>
        <v>3332012.23278618</v>
      </c>
      <c r="O65" s="67" t="n">
        <f aca="false">IF(AND(ISNUMBER(O59)),(O53*1000000*O59+O58*1000000*O60)/3600/O64,"SLO 不可達")</f>
        <v>20090.0787914024</v>
      </c>
      <c r="P65" s="67" t="n">
        <f aca="false">IF(AND(ISNUMBER(P59)),(P53*1000000*P59+P58*1000000*P60)/3600/P64,"SLO 不可達")</f>
        <v>71428.1057448491</v>
      </c>
      <c r="Q65" s="67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1" t="s">
        <v>1047</v>
      </c>
      <c r="B66" s="61" t="s">
        <v>314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1" t="s">
        <v>1048</v>
      </c>
      <c r="B67" s="61" t="s">
        <v>954</v>
      </c>
      <c r="C67" s="74" t="n">
        <f aca="false">C56*(C54+C55)/1000000000000</f>
        <v>3.54</v>
      </c>
      <c r="D67" s="74" t="n">
        <f aca="false">D56*(D54+D55)/1000000000000</f>
        <v>3.54</v>
      </c>
      <c r="E67" s="74" t="n">
        <f aca="false">E56*(E54+E55)/1000000000000</f>
        <v>14.4</v>
      </c>
      <c r="F67" s="74" t="n">
        <f aca="false">F56*(F54+F55)/1000000000000</f>
        <v>3.54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3.54</v>
      </c>
      <c r="K67" s="74" t="n">
        <f aca="false">K56*(K54+K55)/1000000000000</f>
        <v>14.4</v>
      </c>
      <c r="L67" s="74" t="n">
        <f aca="false">L56*(L54+L55)/1000000000000</f>
        <v>3.54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3.54</v>
      </c>
      <c r="P67" s="74" t="n">
        <f aca="false">P56*(P54+P55)/1000000000000</f>
        <v>3.54</v>
      </c>
      <c r="Q67" s="74" t="n">
        <f aca="false">Q56*(Q54+Q55)/1000000000000</f>
        <v>14.4</v>
      </c>
    </row>
    <row r="68" customFormat="false" ht="15" hidden="false" customHeight="false" outlineLevel="0" collapsed="false">
      <c r="A68" s="61" t="s">
        <v>1049</v>
      </c>
      <c r="B68" s="61" t="s">
        <v>292</v>
      </c>
      <c r="C68" s="67" t="n">
        <f aca="false">C24*IF(C25=0,(C54+C55)/2,MIN((C54+C55)/2,C25))+(1-C24)*((C54+C55)/2/C26+C27)</f>
        <v>2248.576</v>
      </c>
      <c r="D68" s="67" t="n">
        <f aca="false">D24*IF(D25=0,(D54+D55)/2,MIN((D54+D55)/2,D25))+(1-D24)*((D54+D55)/2/D26+D27)</f>
        <v>2192</v>
      </c>
      <c r="E68" s="67" t="n">
        <f aca="false">E24*IF(E25=0,(E54+E55)/2,MIN((E54+E55)/2,E25))+(1-E24)*((E54+E55)/2/E26+E27)</f>
        <v>24576</v>
      </c>
      <c r="F68" s="67" t="n">
        <f aca="false">F24*IF(F25=0,(F54+F55)/2,MIN((F54+F55)/2,F25))+(1-F24)*((F54+F55)/2/F26+F27)</f>
        <v>2248.576</v>
      </c>
      <c r="G68" s="67" t="n">
        <f aca="false">G24*IF(G25=0,(G54+G55)/2,MIN((G54+G55)/2,G25))+(1-G24)*((G54+G55)/2/G26+G27)</f>
        <v>2192</v>
      </c>
      <c r="H68" s="67" t="n">
        <f aca="false">H24*IF(H25=0,(H54+H55)/2,MIN((H54+H55)/2,H25))+(1-H24)*((H54+H55)/2/H26+H27)</f>
        <v>24576</v>
      </c>
      <c r="I68" s="67" t="n">
        <f aca="false">I24*IF(I25=0,(I54+I55)/2,MIN((I54+I55)/2,I25))+(1-I24)*((I54+I55)/2/I26+I27)</f>
        <v>2248.576</v>
      </c>
      <c r="J68" s="67" t="n">
        <f aca="false">J24*IF(J25=0,(J54+J55)/2,MIN((J54+J55)/2,J25))+(1-J24)*((J54+J55)/2/J26+J27)</f>
        <v>2192</v>
      </c>
      <c r="K68" s="67" t="n">
        <f aca="false">K24*IF(K25=0,(K54+K55)/2,MIN((K54+K55)/2,K25))+(1-K24)*((K54+K55)/2/K26+K27)</f>
        <v>24576</v>
      </c>
      <c r="L68" s="67" t="n">
        <f aca="false">L24*IF(L25=0,(L54+L55)/2,MIN((L54+L55)/2,L25))+(1-L24)*((L54+L55)/2/L26+L27)</f>
        <v>2248.576</v>
      </c>
      <c r="M68" s="67" t="n">
        <f aca="false">M24*IF(M25=0,(M54+M55)/2,MIN((M54+M55)/2,M25))+(1-M24)*((M54+M55)/2/M26+M27)</f>
        <v>2192</v>
      </c>
      <c r="N68" s="67" t="n">
        <f aca="false">N24*IF(N25=0,(N54+N55)/2,MIN((N54+N55)/2,N25))+(1-N24)*((N54+N55)/2/N26+N27)</f>
        <v>24576</v>
      </c>
      <c r="O68" s="67" t="n">
        <f aca="false">O24*IF(O25=0,(O54+O55)/2,MIN((O54+O55)/2,O25))+(1-O24)*((O54+O55)/2/O26+O27)</f>
        <v>2248.576</v>
      </c>
      <c r="P68" s="67" t="n">
        <f aca="false">P24*IF(P25=0,(P54+P55)/2,MIN((P54+P55)/2,P25))+(1-P24)*((P54+P55)/2/P26+P27)</f>
        <v>2192</v>
      </c>
      <c r="Q68" s="67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61" t="s">
        <v>1050</v>
      </c>
      <c r="B69" s="61" t="s">
        <v>493</v>
      </c>
      <c r="C69" s="74" t="n">
        <f aca="false">3*(2*C22*1000000000+C23*C68)*C28/1000000000</f>
        <v>116.019570597888</v>
      </c>
      <c r="D69" s="74" t="n">
        <f aca="false">3*(2*D22*1000000000+D23*D68)*D28/1000000000</f>
        <v>399.155395584</v>
      </c>
      <c r="E69" s="74" t="n">
        <f aca="false">3*(2*E22*1000000000+E23*E68)*E28/1000000000</f>
        <v>1442.3878656</v>
      </c>
      <c r="F69" s="74" t="n">
        <f aca="false">3*(2*F22*1000000000+F23*F68)*F28/1000000000</f>
        <v>116.019570597888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116.019570597888</v>
      </c>
      <c r="J69" s="74" t="n">
        <f aca="false">3*(2*J22*1000000000+J23*J68)*J28/1000000000</f>
        <v>399.155395584</v>
      </c>
      <c r="K69" s="74" t="n">
        <f aca="false">3*(2*K22*1000000000+K23*K68)*K28/1000000000</f>
        <v>1442.3878656</v>
      </c>
      <c r="L69" s="74" t="n">
        <f aca="false">3*(2*L22*1000000000+L23*L68)*L28/1000000000</f>
        <v>116.019570597888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116.019570597888</v>
      </c>
      <c r="P69" s="74" t="n">
        <f aca="false">3*(2*P22*1000000000+P23*P68)*P28/1000000000</f>
        <v>399.155395584</v>
      </c>
      <c r="Q69" s="74" t="n">
        <f aca="false">3*(2*Q22*1000000000+Q23*Q68)*Q28/1000000000</f>
        <v>1442.3878656</v>
      </c>
    </row>
    <row r="70" customFormat="false" ht="15" hidden="false" customHeight="false" outlineLevel="0" collapsed="false">
      <c r="A70" s="61" t="s">
        <v>1051</v>
      </c>
      <c r="B70" s="61" t="s">
        <v>314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1" t="s">
        <v>1052</v>
      </c>
      <c r="B71" s="61" t="s">
        <v>103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1" t="s">
        <v>1053</v>
      </c>
      <c r="B72" s="61" t="s">
        <v>1023</v>
      </c>
      <c r="C72" s="67" t="n">
        <f aca="false">C70/(C12*1000000000000000*C16*C71*C17)/3600</f>
        <v>427024.165171049</v>
      </c>
      <c r="D72" s="67" t="n">
        <f aca="false">D70/(D12*1000000000000000*D16*D71*D17)/3600</f>
        <v>1469140.06571819</v>
      </c>
      <c r="E72" s="67" t="n">
        <f aca="false">E70/(E12*1000000000000000*E16*E71*E17)/3600</f>
        <v>21595461.4653866</v>
      </c>
      <c r="F72" s="67" t="n">
        <f aca="false">F70/(F12*1000000000000000*F16*F71*F17)/3600</f>
        <v>169016.164574701</v>
      </c>
      <c r="G72" s="67" t="n">
        <f aca="false">G70/(G12*1000000000000000*G16*G71*G17)/3600</f>
        <v>581485.638011259</v>
      </c>
      <c r="H72" s="67" t="n">
        <f aca="false">H70/(H12*1000000000000000*H16*H71*H17)/3600</f>
        <v>8547483.648</v>
      </c>
      <c r="I72" s="67" t="n">
        <f aca="false">I70/(I12*1000000000000000*I16*I71*I17)/3600</f>
        <v>169016.164574701</v>
      </c>
      <c r="J72" s="67" t="n">
        <f aca="false">J70/(J12*1000000000000000*J16*J71*J17)/3600</f>
        <v>581485.638011259</v>
      </c>
      <c r="K72" s="67" t="n">
        <f aca="false">K70/(K12*1000000000000000*K16*K71*K17)/3600</f>
        <v>8547483.648</v>
      </c>
      <c r="L72" s="67" t="n">
        <f aca="false">L70/(L12*1000000000000000*L16*L71*L17)/3600</f>
        <v>53655.9252618099</v>
      </c>
      <c r="M72" s="67" t="n">
        <f aca="false">M70/(M12*1000000000000000*M16*M71*M17)/3600</f>
        <v>184598.61524167</v>
      </c>
      <c r="N72" s="67" t="n">
        <f aca="false">N70/(N12*1000000000000000*N16*N71*N17)/3600</f>
        <v>2713486.87238095</v>
      </c>
      <c r="O72" s="67" t="n">
        <f aca="false">O70/(O12*1000000000000000*O16*O71*O17)/3600</f>
        <v>26827.9626309049</v>
      </c>
      <c r="P72" s="67" t="n">
        <f aca="false">P70/(P12*1000000000000000*P16*P71*P17)/3600</f>
        <v>92299.3076208348</v>
      </c>
      <c r="Q72" s="67" t="n">
        <f aca="false">Q70/(Q12*1000000000000000*Q16*Q71*Q17)/3600</f>
        <v>1356743.43619048</v>
      </c>
    </row>
    <row r="73" customFormat="false" ht="15" hidden="false" customHeight="false" outlineLevel="0" collapsed="false">
      <c r="A73" s="60" t="s">
        <v>1054</v>
      </c>
      <c r="B73" s="60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</row>
    <row r="74" customFormat="false" ht="15" hidden="false" customHeight="false" outlineLevel="0" collapsed="false">
      <c r="A74" s="60" t="s">
        <v>1055</v>
      </c>
      <c r="B74" s="61" t="s">
        <v>1023</v>
      </c>
      <c r="C74" s="67" t="n">
        <f aca="false">C73*C72/3</f>
        <v>0</v>
      </c>
      <c r="D74" s="67" t="n">
        <f aca="false">D73*D72/3</f>
        <v>0</v>
      </c>
      <c r="E74" s="67" t="n">
        <f aca="false">E73*E72/3</f>
        <v>0</v>
      </c>
      <c r="F74" s="67" t="n">
        <f aca="false">F73*F72/3</f>
        <v>0</v>
      </c>
      <c r="G74" s="67" t="n">
        <f aca="false">G73*G72/3</f>
        <v>0</v>
      </c>
      <c r="H74" s="67" t="n">
        <f aca="false">H73*H72/3</f>
        <v>0</v>
      </c>
      <c r="I74" s="67" t="n">
        <f aca="false">I73*I72/3</f>
        <v>0</v>
      </c>
      <c r="J74" s="67" t="n">
        <f aca="false">J73*J72/3</f>
        <v>0</v>
      </c>
      <c r="K74" s="67" t="n">
        <f aca="false">K73*K72/3</f>
        <v>0</v>
      </c>
      <c r="L74" s="67" t="n">
        <f aca="false">L73*L72/3</f>
        <v>0</v>
      </c>
      <c r="M74" s="67" t="n">
        <f aca="false">M73*M72/3</f>
        <v>0</v>
      </c>
      <c r="N74" s="67" t="n">
        <f aca="false">N73*N72/3</f>
        <v>0</v>
      </c>
      <c r="O74" s="67" t="n">
        <f aca="false">O73*O72/3</f>
        <v>0</v>
      </c>
      <c r="P74" s="67" t="n">
        <f aca="false">P73*P72/3</f>
        <v>0</v>
      </c>
      <c r="Q74" s="67" t="n">
        <f aca="false">Q73*Q72/3</f>
        <v>0</v>
      </c>
    </row>
    <row r="75" customFormat="false" ht="15" hidden="false" customHeight="false" outlineLevel="0" collapsed="false">
      <c r="A75" s="61" t="s">
        <v>1056</v>
      </c>
      <c r="B75" s="61" t="s">
        <v>1023</v>
      </c>
      <c r="C75" s="70" t="n">
        <f aca="false">IF(AND(ISNUMBER(C65)),C65+C72+C74,"SLO 不可達")</f>
        <v>1054203.20797403</v>
      </c>
      <c r="D75" s="70" t="n">
        <f aca="false">IF(AND(ISNUMBER(D65)),D65+D72+D74,"SLO 不可達")</f>
        <v>3882768.0044086</v>
      </c>
      <c r="E75" s="70" t="n">
        <f aca="false">IF(AND(ISNUMBER(E65)),E65+E72+E74,"SLO 不可達")</f>
        <v>64730310.5371774</v>
      </c>
      <c r="F75" s="70" t="n">
        <f aca="false">IF(AND(ISNUMBER(F65)),F65+F72+F74,"SLO 不可達")</f>
        <v>310888.000830325</v>
      </c>
      <c r="G75" s="70" t="n">
        <f aca="false">IF(AND(ISNUMBER(G65)),G65+G72+G74,"SLO 不可達")</f>
        <v>1103814.62293829</v>
      </c>
      <c r="H75" s="70" t="n">
        <f aca="false">IF(AND(ISNUMBER(H65)),H65+H72+H74,"SLO 不可達")</f>
        <v>17814557.9473498</v>
      </c>
      <c r="I75" s="70" t="n">
        <f aca="false">IF(AND(ISNUMBER(I65)),I65+I72+I74,"SLO 不可達")</f>
        <v>263597.388745117</v>
      </c>
      <c r="J75" s="70" t="n">
        <f aca="false">IF(AND(ISNUMBER(J65)),J65+J72+J74,"SLO 不可達")</f>
        <v>929704.961295945</v>
      </c>
      <c r="K75" s="70" t="n">
        <f aca="false">IF(AND(ISNUMBER(K65)),K65+K72+K74,"SLO 不可達")</f>
        <v>14957302.4707143</v>
      </c>
      <c r="L75" s="70" t="n">
        <f aca="false">IF(AND(ISNUMBER(L65)),L65+L72+L74,"SLO 不可達")</f>
        <v>107305.134642035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46918.0414223073</v>
      </c>
      <c r="P75" s="70" t="n">
        <f aca="false">IF(AND(ISNUMBER(P65)),P65+P72+P74,"SLO 不可達")</f>
        <v>163727.413365684</v>
      </c>
      <c r="Q75" s="70" t="n">
        <f aca="false">IF(AND(ISNUMBER(Q65)),Q65+Q72+Q74,"SLO 不可達")</f>
        <v>2574548.53645185</v>
      </c>
    </row>
    <row r="76" customFormat="false" ht="15" hidden="false" customHeight="false" outlineLevel="0" collapsed="false">
      <c r="A76" s="61" t="s">
        <v>1057</v>
      </c>
      <c r="B76" s="61" t="s">
        <v>314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</row>
    <row r="77" customFormat="false" ht="15" hidden="false" customHeight="false" outlineLevel="0" collapsed="false">
      <c r="A77" s="61" t="s">
        <v>1058</v>
      </c>
      <c r="B77" s="61" t="s">
        <v>99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0.0901475818714053</v>
      </c>
      <c r="G77" s="101" t="n">
        <f aca="false">IF(AND(ISNUMBER(G75)),G76/(G75*3600*G12*1000000000000000),"SLO 不可達")</f>
        <v>0.0874404965486068</v>
      </c>
      <c r="H77" s="101" t="n">
        <f aca="false">IF(AND(ISNUMBER(H75)),H76/(H75*3600*H12*1000000000000000),"SLO 不可達")</f>
        <v>0.0807474836755068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1" t="s">
        <v>1059</v>
      </c>
      <c r="B78" s="61" t="s">
        <v>103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0.349350977372445</v>
      </c>
      <c r="G78" s="104" t="n">
        <f aca="false">IF(AND(ISNUMBER(G75)),G75/G36,"SLO 不可達")</f>
        <v>0.345364089727531</v>
      </c>
      <c r="H78" s="104" t="n">
        <f aca="false">IF(AND(ISNUMBER(H75)),H75/H36,"SLO 不可達")</f>
        <v>1.05444124337784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1" t="s">
        <v>1060</v>
      </c>
      <c r="B79" s="61" t="s">
        <v>103</v>
      </c>
      <c r="C79" s="76" t="n">
        <f aca="false">C76/C35</f>
        <v>0.139969537042391</v>
      </c>
      <c r="D79" s="76" t="n">
        <f aca="false">D76/D35</f>
        <v>0.134216922203702</v>
      </c>
      <c r="E79" s="76" t="n">
        <f aca="false">E76/E35</f>
        <v>0.37841545371748</v>
      </c>
      <c r="F79" s="76" t="n">
        <f aca="false">F76/F35</f>
        <v>0.139969537042391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0.139969537042391</v>
      </c>
      <c r="J79" s="76" t="n">
        <f aca="false">J76/J35</f>
        <v>0.134216922203702</v>
      </c>
      <c r="K79" s="76" t="n">
        <f aca="false">K76/K35</f>
        <v>0.37841545371748</v>
      </c>
      <c r="L79" s="76" t="n">
        <f aca="false">L76/L35</f>
        <v>0.139969537042391</v>
      </c>
      <c r="M79" s="76" t="n">
        <f aca="false">M76/M35</f>
        <v>0.134216922203702</v>
      </c>
      <c r="N79" s="76" t="n">
        <f aca="false">N76/N35</f>
        <v>0.37841545371748</v>
      </c>
      <c r="O79" s="76" t="n">
        <f aca="false">O76/O35</f>
        <v>0.139969537042391</v>
      </c>
      <c r="P79" s="76" t="n">
        <f aca="false">P76/P35</f>
        <v>0.134216922203702</v>
      </c>
      <c r="Q79" s="76" t="n">
        <f aca="false">Q76/Q35</f>
        <v>0.37841545371748</v>
      </c>
    </row>
    <row r="80" customFormat="false" ht="15" hidden="false" customHeight="false" outlineLevel="0" collapsed="false">
      <c r="A80" s="75" t="s">
        <v>1061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</row>
    <row r="81" customFormat="false" ht="15" hidden="false" customHeight="false" outlineLevel="0" collapsed="false">
      <c r="A81" s="60" t="s">
        <v>1062</v>
      </c>
      <c r="B81" s="61" t="s">
        <v>954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0" t="s">
        <v>1063</v>
      </c>
      <c r="B82" s="60"/>
      <c r="C82" s="89" t="n">
        <f aca="false">INDEX(Train_In!$C$36:$E$36,C$7)</f>
        <v>1</v>
      </c>
      <c r="D82" s="89" t="n">
        <f aca="false">INDEX(Train_In!$C$36:$E$36,D$7)</f>
        <v>2</v>
      </c>
      <c r="E82" s="89" t="n">
        <f aca="false">INDEX(Train_In!$C$36:$E$36,E$7)</f>
        <v>3</v>
      </c>
      <c r="F82" s="89" t="n">
        <f aca="false">INDEX(Train_In!$C$36:$E$36,F$7)</f>
        <v>1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1</v>
      </c>
      <c r="J82" s="89" t="n">
        <f aca="false">INDEX(Train_In!$C$36:$E$36,J$7)</f>
        <v>2</v>
      </c>
      <c r="K82" s="89" t="n">
        <f aca="false">INDEX(Train_In!$C$36:$E$36,K$7)</f>
        <v>3</v>
      </c>
      <c r="L82" s="89" t="n">
        <f aca="false">INDEX(Train_In!$C$36:$E$36,L$7)</f>
        <v>1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1</v>
      </c>
      <c r="P82" s="89" t="n">
        <f aca="false">INDEX(Train_In!$C$36:$E$36,P$7)</f>
        <v>2</v>
      </c>
      <c r="Q82" s="89" t="n">
        <f aca="false">INDEX(Train_In!$C$36:$E$36,Q$7)</f>
        <v>3</v>
      </c>
    </row>
    <row r="83" customFormat="false" ht="15" hidden="false" customHeight="false" outlineLevel="0" collapsed="false">
      <c r="A83" s="60" t="s">
        <v>1064</v>
      </c>
      <c r="B83" s="61" t="s">
        <v>954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</row>
    <row r="84" customFormat="false" ht="15" hidden="false" customHeight="false" outlineLevel="0" collapsed="false">
      <c r="A84" s="60" t="s">
        <v>1065</v>
      </c>
      <c r="B84" s="61" t="s">
        <v>803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0" t="s">
        <v>1066</v>
      </c>
      <c r="B85" s="61" t="s">
        <v>493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0" t="s">
        <v>1067</v>
      </c>
      <c r="B86" s="61" t="s">
        <v>1023</v>
      </c>
      <c r="C86" s="67" t="n">
        <f aca="false">IF(AND(ISNUMBER(C59)),C81*1000000*C59/3600/C64,"SLO 不可達")</f>
        <v>52928.3721908486</v>
      </c>
      <c r="D86" s="67" t="n">
        <f aca="false">IF(AND(ISNUMBER(D59)),D81*1000000*D59/3600/D64,"SLO 不可達")</f>
        <v>203639.32297686</v>
      </c>
      <c r="E86" s="67" t="n">
        <f aca="false">IF(AND(ISNUMBER(E59)),E81*1000000*E59/3600/E64,"SLO 不可達")</f>
        <v>895887.261383411</v>
      </c>
      <c r="F86" s="67" t="n">
        <f aca="false">IF(AND(ISNUMBER(F59)),F81*1000000*F59/3600/F64,"SLO 不可達")</f>
        <v>12001.0421895401</v>
      </c>
      <c r="G86" s="67" t="n">
        <f aca="false">IF(AND(ISNUMBER(G59)),G81*1000000*G59/3600/G64,"SLO 不可達")</f>
        <v>44175.6224144917</v>
      </c>
      <c r="H86" s="67" t="n">
        <f aca="false">IF(AND(ISNUMBER(H59)),H81*1000000*H59/3600/H64,"SLO 不可達")</f>
        <v>192791.536112272</v>
      </c>
      <c r="I86" s="67" t="n">
        <f aca="false">IF(AND(ISNUMBER(I59)),I81*1000000*I59/3600/I64,"SLO 不可達")</f>
        <v>8000.69479302675</v>
      </c>
      <c r="J86" s="67" t="n">
        <f aca="false">IF(AND(ISNUMBER(J59)),J81*1000000*J59/3600/J64,"SLO 不可達")</f>
        <v>29450.4149429944</v>
      </c>
      <c r="K86" s="67" t="n">
        <f aca="false">IF(AND(ISNUMBER(K59)),K81*1000000*K59/3600/K64,"SLO 不可達")</f>
        <v>133356.217612649</v>
      </c>
      <c r="L86" s="67" t="n">
        <f aca="false">IF(AND(ISNUMBER(L59)),L81*1000000*L59/3600/L64,"SLO 不可達")</f>
        <v>4540.25894459413</v>
      </c>
      <c r="M86" s="67" t="n">
        <f aca="false">IF(AND(ISNUMBER(M59)),M81*1000000*M59/3600/M64,"SLO 不可達")</f>
        <v>16265.3626052943</v>
      </c>
      <c r="N86" s="67" t="n">
        <f aca="false">IF(AND(ISNUMBER(N59)),N81*1000000*N59/3600/N64,"SLO 不可達")</f>
        <v>69339.0610047075</v>
      </c>
      <c r="O86" s="67" t="n">
        <f aca="false">IF(AND(ISNUMBER(O59)),O81*1000000*O59/3600/O64,"SLO 不可達")</f>
        <v>1699.40693850807</v>
      </c>
      <c r="P86" s="67" t="n">
        <f aca="false">IF(AND(ISNUMBER(P59)),P81*1000000*P59/3600/P64,"SLO 不可達")</f>
        <v>6040.43704331619</v>
      </c>
      <c r="Q86" s="67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0" t="s">
        <v>1068</v>
      </c>
      <c r="B87" s="61" t="s">
        <v>1023</v>
      </c>
      <c r="C87" s="67" t="n">
        <f aca="false">C83*1000000*C84/3600</f>
        <v>9073.68125418717</v>
      </c>
      <c r="D87" s="67" t="n">
        <f aca="false">D83*1000000*D84/3600</f>
        <v>36941.037677061</v>
      </c>
      <c r="E87" s="67" t="n">
        <f aca="false">E83*1000000*E84/3600</f>
        <v>112421.446579036</v>
      </c>
      <c r="F87" s="67" t="n">
        <f aca="false">F83*1000000*F84/3600</f>
        <v>897.387076039111</v>
      </c>
      <c r="G87" s="67" t="n">
        <f aca="false">G83*1000000*G84/3600</f>
        <v>3653.46862626133</v>
      </c>
      <c r="H87" s="67" t="n">
        <f aca="false">H83*1000000*H84/3600</f>
        <v>11118.4810666667</v>
      </c>
      <c r="I87" s="67" t="n">
        <f aca="false">I83*1000000*I84/3600</f>
        <v>598.258050692741</v>
      </c>
      <c r="J87" s="67" t="n">
        <f aca="false">J83*1000000*J84/3600</f>
        <v>2435.64575084089</v>
      </c>
      <c r="K87" s="67" t="n">
        <f aca="false">K83*1000000*K84/3600</f>
        <v>7412.32071111111</v>
      </c>
      <c r="L87" s="67" t="n">
        <f aca="false">L83*1000000*L84/3600</f>
        <v>256.396307439746</v>
      </c>
      <c r="M87" s="67" t="n">
        <f aca="false">M83*1000000*M84/3600</f>
        <v>1043.84817893181</v>
      </c>
      <c r="N87" s="67" t="n">
        <f aca="false">N83*1000000*N84/3600</f>
        <v>3176.70887619048</v>
      </c>
      <c r="O87" s="67" t="n">
        <f aca="false">O83*1000000*O84/3600</f>
        <v>128.198153719873</v>
      </c>
      <c r="P87" s="67" t="n">
        <f aca="false">P83*1000000*P84/3600</f>
        <v>521.924089465905</v>
      </c>
      <c r="Q87" s="67" t="n">
        <f aca="false">Q83*1000000*Q84/3600</f>
        <v>1588.35443809524</v>
      </c>
    </row>
    <row r="88" customFormat="false" ht="15" hidden="false" customHeight="false" outlineLevel="0" collapsed="false">
      <c r="A88" s="60" t="s">
        <v>1069</v>
      </c>
      <c r="B88" s="61" t="s">
        <v>314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0" t="s">
        <v>1070</v>
      </c>
      <c r="B89" s="61" t="s">
        <v>1023</v>
      </c>
      <c r="C89" s="67" t="n">
        <f aca="false">C88/(C12*1000000000000000*C16*C71*C17)/3600</f>
        <v>36188.4885738177</v>
      </c>
      <c r="D89" s="67" t="n">
        <f aca="false">D88/(D12*1000000000000000*D16*D71*D17)/3600</f>
        <v>124503.395399847</v>
      </c>
      <c r="E89" s="67" t="n">
        <f aca="false">E88/(E12*1000000000000000*E16*E71*E17)/3600</f>
        <v>449905.447195553</v>
      </c>
      <c r="F89" s="67" t="n">
        <f aca="false">F88/(F12*1000000000000000*F16*F71*F17)/3600</f>
        <v>14323.403777517</v>
      </c>
      <c r="G89" s="67" t="n">
        <f aca="false">G88/(G12*1000000000000000*G16*G71*G17)/3600</f>
        <v>49278.4438992593</v>
      </c>
      <c r="H89" s="67" t="n">
        <f aca="false">H88/(H12*1000000000000000*H16*H71*H17)/3600</f>
        <v>178072.576</v>
      </c>
      <c r="I89" s="67" t="n">
        <f aca="false">I88/(I12*1000000000000000*I16*I71*I17)/3600</f>
        <v>14323.403777517</v>
      </c>
      <c r="J89" s="67" t="n">
        <f aca="false">J88/(J12*1000000000000000*J16*J71*J17)/3600</f>
        <v>49278.4438992593</v>
      </c>
      <c r="K89" s="67" t="n">
        <f aca="false">K88/(K12*1000000000000000*K16*K71*K17)/3600</f>
        <v>178072.576</v>
      </c>
      <c r="L89" s="67" t="n">
        <f aca="false">L88/(L12*1000000000000000*L16*L71*L17)/3600</f>
        <v>4547.11231032287</v>
      </c>
      <c r="M89" s="67" t="n">
        <f aca="false">M88/(M12*1000000000000000*M16*M71*M17)/3600</f>
        <v>15643.9504442093</v>
      </c>
      <c r="N89" s="67" t="n">
        <f aca="false">N88/(N12*1000000000000000*N16*N71*N17)/3600</f>
        <v>56530.9765079365</v>
      </c>
      <c r="O89" s="67" t="n">
        <f aca="false">O88/(O12*1000000000000000*O16*O71*O17)/3600</f>
        <v>2273.55615516143</v>
      </c>
      <c r="P89" s="67" t="n">
        <f aca="false">P88/(P12*1000000000000000*P16*P71*P17)/3600</f>
        <v>7821.97522210464</v>
      </c>
      <c r="Q89" s="67" t="n">
        <f aca="false">Q88/(Q12*1000000000000000*Q16*Q71*Q17)/3600</f>
        <v>28265.4882539683</v>
      </c>
    </row>
    <row r="90" customFormat="false" ht="15" hidden="false" customHeight="false" outlineLevel="0" collapsed="false">
      <c r="A90" s="60" t="s">
        <v>1071</v>
      </c>
      <c r="B90" s="61" t="s">
        <v>1023</v>
      </c>
      <c r="C90" s="67" t="n">
        <f aca="false">IF(AND(ISNUMBER(C86)),C86+C87+C89,"SLO 不可達")</f>
        <v>98190.5420188534</v>
      </c>
      <c r="D90" s="67" t="n">
        <f aca="false">IF(AND(ISNUMBER(D86)),D86+D87+D89,"SLO 不可達")</f>
        <v>365083.756053767</v>
      </c>
      <c r="E90" s="67" t="n">
        <f aca="false">IF(AND(ISNUMBER(E86)),E86+E87+E89,"SLO 不可達")</f>
        <v>1458214.155158</v>
      </c>
      <c r="F90" s="67" t="n">
        <f aca="false">IF(AND(ISNUMBER(F86)),F86+F87+F89,"SLO 不可達")</f>
        <v>27221.8330430963</v>
      </c>
      <c r="G90" s="67" t="n">
        <f aca="false">IF(AND(ISNUMBER(G86)),G86+G87+G89,"SLO 不可達")</f>
        <v>97107.5349400122</v>
      </c>
      <c r="H90" s="67" t="n">
        <f aca="false">IF(AND(ISNUMBER(H86)),H86+H87+H89,"SLO 不可達")</f>
        <v>381982.593178939</v>
      </c>
      <c r="I90" s="67" t="n">
        <f aca="false">IF(AND(ISNUMBER(I86)),I86+I87+I89,"SLO 不可達")</f>
        <v>22922.3566212365</v>
      </c>
      <c r="J90" s="67" t="n">
        <f aca="false">IF(AND(ISNUMBER(J86)),J86+J87+J89,"SLO 不可達")</f>
        <v>81164.5045930946</v>
      </c>
      <c r="K90" s="67" t="n">
        <f aca="false">IF(AND(ISNUMBER(K86)),K86+K87+K89,"SLO 不可達")</f>
        <v>318841.11432376</v>
      </c>
      <c r="L90" s="67" t="n">
        <f aca="false">IF(AND(ISNUMBER(L86)),L86+L87+L89,"SLO 不可達")</f>
        <v>9343.76756235674</v>
      </c>
      <c r="M90" s="67" t="n">
        <f aca="false">IF(AND(ISNUMBER(M86)),M86+M87+M89,"SLO 不可達")</f>
        <v>32953.1612284354</v>
      </c>
      <c r="N90" s="67" t="n">
        <f aca="false">IF(AND(ISNUMBER(N86)),N86+N87+N89,"SLO 不可達")</f>
        <v>129046.746388834</v>
      </c>
      <c r="O90" s="67" t="n">
        <f aca="false">IF(AND(ISNUMBER(O86)),O86+O87+O89,"SLO 不可達")</f>
        <v>4101.16124738937</v>
      </c>
      <c r="P90" s="67" t="n">
        <f aca="false">IF(AND(ISNUMBER(P86)),P86+P87+P89,"SLO 不可達")</f>
        <v>14384.3363548867</v>
      </c>
      <c r="Q90" s="67" t="n">
        <f aca="false">IF(AND(ISNUMBER(Q86)),Q86+Q87+Q89,"SLO 不可達")</f>
        <v>55185.8520250064</v>
      </c>
    </row>
    <row r="91" customFormat="false" ht="15" hidden="false" customHeight="false" outlineLevel="0" collapsed="false">
      <c r="A91" s="60" t="s">
        <v>1072</v>
      </c>
      <c r="B91" s="61" t="s">
        <v>314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5" t="s">
        <v>1073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1074</v>
      </c>
      <c r="B93" s="61" t="s">
        <v>954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0" t="s">
        <v>1075</v>
      </c>
      <c r="B94" s="60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</row>
    <row r="95" customFormat="false" ht="15" hidden="false" customHeight="false" outlineLevel="0" collapsed="false">
      <c r="A95" s="60" t="s">
        <v>1076</v>
      </c>
      <c r="B95" s="61" t="s">
        <v>803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2949.71050251776</v>
      </c>
      <c r="G95" s="98" t="n">
        <f aca="false">INDEX(Perf_Batch!$C$103:$Q$103,3*(G$6-1)+G94)</f>
        <v>2949.71050251776</v>
      </c>
      <c r="H95" s="98" t="n">
        <f aca="false">INDEX(Perf_Batch!$C$103:$Q$103,3*(H$6-1)+H94)</f>
        <v>2949.71050251776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0" t="s">
        <v>1077</v>
      </c>
      <c r="B96" s="61" t="s">
        <v>493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5" hidden="false" customHeight="false" outlineLevel="0" collapsed="false">
      <c r="A97" s="60" t="s">
        <v>1078</v>
      </c>
      <c r="B97" s="61" t="s">
        <v>1023</v>
      </c>
      <c r="C97" s="67" t="n">
        <f aca="false">IF(AND(ISNUMBER(C95)),C93*1000000*C95/3600,"SLO 不可達")</f>
        <v>3807520.8608795</v>
      </c>
      <c r="D97" s="67" t="n">
        <f aca="false">IF(AND(ISNUMBER(D95)),D93*1000000*D95/3600,"SLO 不可達")</f>
        <v>7615041.72175899</v>
      </c>
      <c r="E97" s="67" t="n">
        <f aca="false">IF(AND(ISNUMBER(E95)),E93*1000000*E95/3600,"SLO 不可達")</f>
        <v>11422562.5826385</v>
      </c>
      <c r="F97" s="67" t="n">
        <f aca="false">IF(AND(ISNUMBER(F95)),F93*1000000*F95/3600,"SLO 不可達")</f>
        <v>819364.028477156</v>
      </c>
      <c r="G97" s="67" t="n">
        <f aca="false">IF(AND(ISNUMBER(G95)),G93*1000000*G95/3600,"SLO 不可達")</f>
        <v>1638728.05695431</v>
      </c>
      <c r="H97" s="67" t="n">
        <f aca="false">IF(AND(ISNUMBER(H95)),H93*1000000*H95/3600,"SLO 不可達")</f>
        <v>2458092.08543147</v>
      </c>
      <c r="I97" s="67" t="n">
        <f aca="false">IF(AND(ISNUMBER(I95)),I93*1000000*I95/3600,"SLO 不可達")</f>
        <v>566763.924853758</v>
      </c>
      <c r="J97" s="67" t="n">
        <f aca="false">IF(AND(ISNUMBER(J95)),J93*1000000*J95/3600,"SLO 不可達")</f>
        <v>1133527.84970752</v>
      </c>
      <c r="K97" s="67" t="n">
        <f aca="false">IF(AND(ISNUMBER(K95)),K93*1000000*K95/3600,"SLO 不可達")</f>
        <v>1700291.77456127</v>
      </c>
      <c r="L97" s="67" t="n">
        <f aca="false">IF(AND(ISNUMBER(L95)),L93*1000000*L95/3600,"SLO 不可達")</f>
        <v>294691.009270007</v>
      </c>
      <c r="M97" s="67" t="n">
        <f aca="false">IF(AND(ISNUMBER(M95)),M93*1000000*M95/3600,"SLO 不可達")</f>
        <v>589382.018540014</v>
      </c>
      <c r="N97" s="67" t="n">
        <f aca="false">IF(AND(ISNUMBER(N95)),N93*1000000*N95/3600,"SLO 不可達")</f>
        <v>884073.027810021</v>
      </c>
      <c r="O97" s="67" t="n">
        <f aca="false">IF(AND(ISNUMBER(O95)),O93*1000000*O95/3600,"SLO 不可達")</f>
        <v>107661.039665007</v>
      </c>
      <c r="P97" s="67" t="n">
        <f aca="false">IF(AND(ISNUMBER(P95)),P93*1000000*P95/3600,"SLO 不可達")</f>
        <v>215322.079330015</v>
      </c>
      <c r="Q97" s="67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0" t="s">
        <v>1079</v>
      </c>
      <c r="B98" s="61" t="s">
        <v>314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0" t="s">
        <v>977</v>
      </c>
      <c r="B99" s="61" t="s">
        <v>954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5" hidden="false" customHeight="false" outlineLevel="0" collapsed="false">
      <c r="A100" s="60" t="s">
        <v>1080</v>
      </c>
      <c r="B100" s="61" t="s">
        <v>1023</v>
      </c>
      <c r="C100" s="67" t="n">
        <f aca="false">IF(AND(ISNUMBER(C59)),C99*1000000*C59/3600,"SLO 不可達")</f>
        <v>4498.91163622213</v>
      </c>
      <c r="D100" s="67" t="n">
        <f aca="false">IF(AND(ISNUMBER(D59)),D99*1000000*D59/3600,"SLO 不可達")</f>
        <v>43273.3561325827</v>
      </c>
      <c r="E100" s="67" t="n">
        <f aca="false">IF(AND(ISNUMBER(E59)),E99*1000000*E59/3600,"SLO 不可達")</f>
        <v>380752.08608795</v>
      </c>
      <c r="F100" s="67" t="n">
        <f aca="false">IF(AND(ISNUMBER(F59)),F99*1000000*F59/3600,"SLO 不可達")</f>
        <v>1020.08858611091</v>
      </c>
      <c r="G100" s="67" t="n">
        <f aca="false">IF(AND(ISNUMBER(G59)),G99*1000000*G59/3600,"SLO 不可達")</f>
        <v>9387.31976307948</v>
      </c>
      <c r="H100" s="67" t="n">
        <f aca="false">IF(AND(ISNUMBER(H59)),H99*1000000*H59/3600,"SLO 不可達")</f>
        <v>81936.4028477156</v>
      </c>
      <c r="I100" s="67" t="n">
        <f aca="false">IF(AND(ISNUMBER(I59)),I99*1000000*I59/3600,"SLO 不可達")</f>
        <v>680.059057407274</v>
      </c>
      <c r="J100" s="67" t="n">
        <f aca="false">IF(AND(ISNUMBER(J59)),J99*1000000*J59/3600,"SLO 不可達")</f>
        <v>6258.21317538632</v>
      </c>
      <c r="K100" s="67" t="n">
        <f aca="false">IF(AND(ISNUMBER(K59)),K99*1000000*K59/3600,"SLO 不可達")</f>
        <v>56676.3924853758</v>
      </c>
      <c r="L100" s="67" t="n">
        <f aca="false">IF(AND(ISNUMBER(L59)),L99*1000000*L59/3600,"SLO 不可達")</f>
        <v>385.922010290501</v>
      </c>
      <c r="M100" s="67" t="n">
        <f aca="false">IF(AND(ISNUMBER(M59)),M99*1000000*M59/3600,"SLO 不可達")</f>
        <v>3456.38955362504</v>
      </c>
      <c r="N100" s="67" t="n">
        <f aca="false">IF(AND(ISNUMBER(N59)),N99*1000000*N59/3600,"SLO 不可達")</f>
        <v>29469.1009270007</v>
      </c>
      <c r="O100" s="67" t="n">
        <f aca="false">IF(AND(ISNUMBER(O59)),O99*1000000*O59/3600,"SLO 不可達")</f>
        <v>144.449589773186</v>
      </c>
      <c r="P100" s="67" t="n">
        <f aca="false">IF(AND(ISNUMBER(P59)),P99*1000000*P59/3600,"SLO 不可達")</f>
        <v>1283.59287170469</v>
      </c>
      <c r="Q100" s="67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0" t="s">
        <v>1081</v>
      </c>
      <c r="B101" s="61" t="s">
        <v>314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5" t="s">
        <v>1082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</row>
    <row r="103" customFormat="false" ht="15" hidden="false" customHeight="false" outlineLevel="0" collapsed="false">
      <c r="A103" s="60" t="s">
        <v>1083</v>
      </c>
      <c r="B103" s="61" t="s">
        <v>1023</v>
      </c>
      <c r="C103" s="67" t="n">
        <f aca="false">C36+C43</f>
        <v>2323127.22501969</v>
      </c>
      <c r="D103" s="67" t="n">
        <f aca="false">D36+D43</f>
        <v>8330343.13024751</v>
      </c>
      <c r="E103" s="67" t="n">
        <f aca="false">E36+E43</f>
        <v>45238344.5556117</v>
      </c>
      <c r="F103" s="67" t="n">
        <f aca="false">F36+F43</f>
        <v>919493.755662791</v>
      </c>
      <c r="G103" s="67" t="n">
        <f aca="false">G36+G43</f>
        <v>3297149.81095196</v>
      </c>
      <c r="H103" s="67" t="n">
        <f aca="false">H36+H43</f>
        <v>17905336.7751111</v>
      </c>
      <c r="I103" s="67" t="n">
        <f aca="false">I36+I43</f>
        <v>919493.755662791</v>
      </c>
      <c r="J103" s="67" t="n">
        <f aca="false">J36+J43</f>
        <v>3297149.81095196</v>
      </c>
      <c r="K103" s="67" t="n">
        <f aca="false">K36+K43</f>
        <v>17905336.7751111</v>
      </c>
      <c r="L103" s="67" t="n">
        <f aca="false">L36+L43</f>
        <v>291902.779575489</v>
      </c>
      <c r="M103" s="67" t="n">
        <f aca="false">M36+M43</f>
        <v>1046714.22569904</v>
      </c>
      <c r="N103" s="67" t="n">
        <f aca="false">N36+N43</f>
        <v>5684233.89686067</v>
      </c>
      <c r="O103" s="67" t="n">
        <f aca="false">O36+O43</f>
        <v>145951.389787745</v>
      </c>
      <c r="P103" s="67" t="n">
        <f aca="false">P36+P43</f>
        <v>523357.112849518</v>
      </c>
      <c r="Q103" s="67" t="n">
        <f aca="false">Q36+Q43</f>
        <v>2842116.94843034</v>
      </c>
    </row>
    <row r="104" customFormat="false" ht="15" hidden="false" customHeight="false" outlineLevel="0" collapsed="false">
      <c r="A104" s="60" t="s">
        <v>1084</v>
      </c>
      <c r="B104" s="61" t="s">
        <v>1023</v>
      </c>
      <c r="C104" s="67" t="n">
        <f aca="false">IF(AND(ISNUMBER(C75),ISNUMBER(C90)),C51+C75+C90,"SLO 不可達")</f>
        <v>1156922.45847323</v>
      </c>
      <c r="D104" s="67" t="n">
        <f aca="false">IF(AND(ISNUMBER(D75),ISNUMBER(D90)),D51+D75+D90,"SLO 不可達")</f>
        <v>4263384.27926433</v>
      </c>
      <c r="E104" s="67" t="n">
        <f aca="false">IF(AND(ISNUMBER(E75),ISNUMBER(E90)),E51+E75+E90,"SLO 不可達")</f>
        <v>66282161.8918188</v>
      </c>
      <c r="F104" s="67" t="n">
        <f aca="false">IF(AND(ISNUMBER(F75),ISNUMBER(F90)),F51+F75+F90,"SLO 不可達")</f>
        <v>339902.296689943</v>
      </c>
      <c r="G104" s="67" t="n">
        <f aca="false">IF(AND(ISNUMBER(G75),ISNUMBER(G90)),G51+G75+G90,"SLO 不可達")</f>
        <v>1207069.92882012</v>
      </c>
      <c r="H104" s="67" t="n">
        <f aca="false">IF(AND(ISNUMBER(H75),ISNUMBER(H90)),H51+H75+H90,"SLO 不可達")</f>
        <v>18233602.1440843</v>
      </c>
      <c r="I104" s="67" t="n">
        <f aca="false">IF(AND(ISNUMBER(I75),ISNUMBER(I90)),I51+I75+I90,"SLO 不可達")</f>
        <v>288312.208182875</v>
      </c>
      <c r="J104" s="67" t="n">
        <f aca="false">IF(AND(ISNUMBER(J75),ISNUMBER(J90)),J51+J75+J90,"SLO 不可達")</f>
        <v>1017017.23683086</v>
      </c>
      <c r="K104" s="67" t="n">
        <f aca="false">IF(AND(ISNUMBER(K75),ISNUMBER(K90)),K51+K75+K90,"SLO 不可達")</f>
        <v>15313205.1885937</v>
      </c>
      <c r="L104" s="67" t="n">
        <f aca="false">IF(AND(ISNUMBER(L75),ISNUMBER(L90)),L51+L75+L90,"SLO 不可達")</f>
        <v>117217.93801916</v>
      </c>
      <c r="M104" s="67" t="n">
        <f aca="false">IF(AND(ISNUMBER(M75),ISNUMBER(M90)),M51+M75+M90,"SLO 不可達")</f>
        <v>411736.625794877</v>
      </c>
      <c r="N104" s="67" t="n">
        <f aca="false">IF(AND(ISNUMBER(N75),ISNUMBER(N90)),N51+N75+N90,"SLO 不可達")</f>
        <v>6186311.43998631</v>
      </c>
      <c r="O104" s="67" t="n">
        <f aca="false">IF(AND(ISNUMBER(O75),ISNUMBER(O90)),O51+O75+O90,"SLO 不可達")</f>
        <v>51303.720577081</v>
      </c>
      <c r="P104" s="67" t="n">
        <f aca="false">IF(AND(ISNUMBER(P75),ISNUMBER(P90)),P51+P75+P90,"SLO 不可達")</f>
        <v>179087.586378002</v>
      </c>
      <c r="Q104" s="67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0" t="s">
        <v>1085</v>
      </c>
      <c r="B105" s="61" t="s">
        <v>1023</v>
      </c>
      <c r="C105" s="67" t="n">
        <f aca="false">IF(AND(ISNUMBER(C97),ISNUMBER(C100)),C97+C100,"SLO 不可達")</f>
        <v>3812019.77251572</v>
      </c>
      <c r="D105" s="67" t="n">
        <f aca="false">IF(AND(ISNUMBER(D97),ISNUMBER(D100)),D97+D100,"SLO 不可達")</f>
        <v>7658315.07789158</v>
      </c>
      <c r="E105" s="67" t="n">
        <f aca="false">IF(AND(ISNUMBER(E97),ISNUMBER(E100)),E97+E100,"SLO 不可達")</f>
        <v>11803314.6687264</v>
      </c>
      <c r="F105" s="67" t="n">
        <f aca="false">IF(AND(ISNUMBER(F97),ISNUMBER(F100)),F97+F100,"SLO 不可達")</f>
        <v>820384.117063266</v>
      </c>
      <c r="G105" s="67" t="n">
        <f aca="false">IF(AND(ISNUMBER(G97),ISNUMBER(G100)),G97+G100,"SLO 不可達")</f>
        <v>1648115.37671739</v>
      </c>
      <c r="H105" s="67" t="n">
        <f aca="false">IF(AND(ISNUMBER(H97),ISNUMBER(H100)),H97+H100,"SLO 不可達")</f>
        <v>2540028.48827918</v>
      </c>
      <c r="I105" s="67" t="n">
        <f aca="false">IF(AND(ISNUMBER(I97),ISNUMBER(I100)),I97+I100,"SLO 不可達")</f>
        <v>567443.983911165</v>
      </c>
      <c r="J105" s="67" t="n">
        <f aca="false">IF(AND(ISNUMBER(J97),ISNUMBER(J100)),J97+J100,"SLO 不可達")</f>
        <v>1139786.0628829</v>
      </c>
      <c r="K105" s="67" t="n">
        <f aca="false">IF(AND(ISNUMBER(K97),ISNUMBER(K100)),K97+K100,"SLO 不可達")</f>
        <v>1756968.16704665</v>
      </c>
      <c r="L105" s="67" t="n">
        <f aca="false">IF(AND(ISNUMBER(L97),ISNUMBER(L100)),L97+L100,"SLO 不可達")</f>
        <v>295076.931280297</v>
      </c>
      <c r="M105" s="67" t="n">
        <f aca="false">IF(AND(ISNUMBER(M97),ISNUMBER(M100)),M97+M100,"SLO 不可達")</f>
        <v>592838.408093639</v>
      </c>
      <c r="N105" s="67" t="n">
        <f aca="false">IF(AND(ISNUMBER(N97),ISNUMBER(N100)),N97+N100,"SLO 不可達")</f>
        <v>913542.128737021</v>
      </c>
      <c r="O105" s="67" t="n">
        <f aca="false">IF(AND(ISNUMBER(O97),ISNUMBER(O100)),O97+O100,"SLO 不可達")</f>
        <v>107805.489254781</v>
      </c>
      <c r="P105" s="67" t="n">
        <f aca="false">IF(AND(ISNUMBER(P97),ISNUMBER(P100)),P97+P100,"SLO 不可達")</f>
        <v>216605.67220172</v>
      </c>
      <c r="Q105" s="67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0" t="s">
        <v>1086</v>
      </c>
      <c r="B106" s="61" t="s">
        <v>1023</v>
      </c>
      <c r="C106" s="70" t="n">
        <f aca="false">IF(AND(ISNUMBER(C104),ISNUMBER(C105)),C103+C104+C105,"SLO 不可達")</f>
        <v>7292069.45600863</v>
      </c>
      <c r="D106" s="70" t="n">
        <f aca="false">IF(AND(ISNUMBER(D104),ISNUMBER(D105)),D103+D104+D105,"SLO 不可達")</f>
        <v>20252042.4874034</v>
      </c>
      <c r="E106" s="70" t="n">
        <f aca="false">IF(AND(ISNUMBER(E104),ISNUMBER(E105)),E103+E104+E105,"SLO 不可達")</f>
        <v>123323821.116157</v>
      </c>
      <c r="F106" s="70" t="n">
        <f aca="false">IF(AND(ISNUMBER(F104),ISNUMBER(F105)),F103+F104+F105,"SLO 不可達")</f>
        <v>2079780.169416</v>
      </c>
      <c r="G106" s="70" t="n">
        <f aca="false">IF(AND(ISNUMBER(G104),ISNUMBER(G105)),G103+G104+G105,"SLO 不可達")</f>
        <v>6152335.11648947</v>
      </c>
      <c r="H106" s="70" t="n">
        <f aca="false">IF(AND(ISNUMBER(H104),ISNUMBER(H105)),H103+H104+H105,"SLO 不可達")</f>
        <v>38678967.4074746</v>
      </c>
      <c r="I106" s="70" t="n">
        <f aca="false">IF(AND(ISNUMBER(I104),ISNUMBER(I105)),I103+I104+I105,"SLO 不可達")</f>
        <v>1775249.94775683</v>
      </c>
      <c r="J106" s="70" t="n">
        <f aca="false">IF(AND(ISNUMBER(J104),ISNUMBER(J105)),J103+J104+J105,"SLO 不可達")</f>
        <v>5453953.11066573</v>
      </c>
      <c r="K106" s="70" t="n">
        <f aca="false">IF(AND(ISNUMBER(K104),ISNUMBER(K105)),K103+K104+K105,"SLO 不可達")</f>
        <v>34975510.1307514</v>
      </c>
      <c r="L106" s="70" t="n">
        <f aca="false">IF(AND(ISNUMBER(L104),ISNUMBER(L105)),L103+L104+L105,"SLO 不可達")</f>
        <v>704197.648874947</v>
      </c>
      <c r="M106" s="70" t="n">
        <f aca="false">IF(AND(ISNUMBER(M104),ISNUMBER(M105)),M103+M104+M105,"SLO 不可達")</f>
        <v>2051289.25958755</v>
      </c>
      <c r="N106" s="70" t="n">
        <f aca="false">IF(AND(ISNUMBER(N104),ISNUMBER(N105)),N103+N104+N105,"SLO 不可達")</f>
        <v>12784087.465584</v>
      </c>
      <c r="O106" s="70" t="n">
        <f aca="false">IF(AND(ISNUMBER(O104),ISNUMBER(O105)),O103+O104+O105,"SLO 不可達")</f>
        <v>305060.599619606</v>
      </c>
      <c r="P106" s="70" t="n">
        <f aca="false">IF(AND(ISNUMBER(P104),ISNUMBER(P105)),P103+P104+P105,"SLO 不可達")</f>
        <v>919050.37142924</v>
      </c>
      <c r="Q106" s="70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0" t="s">
        <v>1087</v>
      </c>
      <c r="B107" s="61" t="s">
        <v>314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0" t="s">
        <v>1088</v>
      </c>
      <c r="B108" s="61" t="s">
        <v>314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0" t="s">
        <v>1089</v>
      </c>
      <c r="B109" s="61" t="s">
        <v>314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0" t="s">
        <v>1090</v>
      </c>
      <c r="B110" s="61" t="s">
        <v>99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0" t="s">
        <v>1091</v>
      </c>
      <c r="B111" s="61" t="s">
        <v>99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0.269893093641953</v>
      </c>
      <c r="G111" s="101" t="n">
        <f aca="false">IF(AND(ISNUMBER(G104)),G104/(G103+G104),"SLO 不可達")</f>
        <v>0.267986465704979</v>
      </c>
      <c r="H111" s="101" t="n">
        <f aca="false">IF(AND(ISNUMBER(H104)),H104/(H103+H104),"SLO 不可達")</f>
        <v>0.504541712883535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0" t="s">
        <v>1092</v>
      </c>
      <c r="B112" s="61" t="s">
        <v>1023</v>
      </c>
      <c r="C112" s="67" t="n">
        <f aca="false">IF(AND(ISNUMBER(C65),ISNUMBER(C86),ISNUMBER(C97),ISNUMBER(C100)),C65+C74+C86+C87+C97+C100,"SLO 不可達")</f>
        <v>4501200.86876373</v>
      </c>
      <c r="D112" s="67" t="n">
        <f aca="false">IF(AND(ISNUMBER(D65),ISNUMBER(D86),ISNUMBER(D97),ISNUMBER(D100)),D65+D74+D86+D87+D97+D100,"SLO 不可達")</f>
        <v>10312523.3772359</v>
      </c>
      <c r="E112" s="67" t="n">
        <f aca="false">IF(AND(ISNUMBER(E65),ISNUMBER(E86),ISNUMBER(E97),ISNUMBER(E100)),E65+E74+E86+E87+E97+E100,"SLO 不可達")</f>
        <v>55946472.4484797</v>
      </c>
      <c r="F112" s="67" t="n">
        <f aca="false">IF(AND(ISNUMBER(F65),ISNUMBER(F86),ISNUMBER(F97),ISNUMBER(F100)),F65+F74+F86+F87+F97+F100,"SLO 不可達")</f>
        <v>975154.38258447</v>
      </c>
      <c r="G112" s="67" t="n">
        <f aca="false">IF(AND(ISNUMBER(G65),ISNUMBER(G86),ISNUMBER(G97),ISNUMBER(G100)),G65+G74+G86+G87+G97+G100,"SLO 不可達")</f>
        <v>2218273.45268517</v>
      </c>
      <c r="H112" s="67" t="n">
        <f aca="false">IF(AND(ISNUMBER(H65),ISNUMBER(H86),ISNUMBER(H97),ISNUMBER(H100)),H65+H74+H86+H87+H97+H100,"SLO 不可達")</f>
        <v>12011012.804808</v>
      </c>
      <c r="I112" s="67" t="n">
        <f aca="false">IF(AND(ISNUMBER(I65),ISNUMBER(I86),ISNUMBER(I97),ISNUMBER(I100)),I65+I74+I86+I87+I97+I100,"SLO 不可達")</f>
        <v>670624.160925301</v>
      </c>
      <c r="J112" s="67" t="n">
        <f aca="false">IF(AND(ISNUMBER(J65),ISNUMBER(J86),ISNUMBER(J97),ISNUMBER(J100)),J65+J74+J86+J87+J97+J100,"SLO 不可達")</f>
        <v>1519891.44686142</v>
      </c>
      <c r="K112" s="67" t="n">
        <f aca="false">IF(AND(ISNUMBER(K65),ISNUMBER(K86),ISNUMBER(K97),ISNUMBER(K100)),K65+K74+K86+K87+K97+K100,"SLO 不可達")</f>
        <v>8307555.52808475</v>
      </c>
      <c r="L112" s="67" t="n">
        <f aca="false">IF(AND(ISNUMBER(L65),ISNUMBER(L86),ISNUMBER(L97),ISNUMBER(L100)),L65+L74+L86+L87+L97+L100,"SLO 不可達")</f>
        <v>353522.795912556</v>
      </c>
      <c r="M112" s="67" t="n">
        <f aca="false">IF(AND(ISNUMBER(M65),ISNUMBER(M86),ISNUMBER(M97),ISNUMBER(M100)),M65+M74+M86+M87+M97+M100,"SLO 不可達")</f>
        <v>802380.794887774</v>
      </c>
      <c r="N112" s="67" t="n">
        <f aca="false">IF(AND(ISNUMBER(N65),ISNUMBER(N86),ISNUMBER(N97),ISNUMBER(N100)),N65+N74+N86+N87+N97+N100,"SLO 不可達")</f>
        <v>4318070.1314041</v>
      </c>
      <c r="O112" s="67" t="n">
        <f aca="false">IF(AND(ISNUMBER(O65),ISNUMBER(O86),ISNUMBER(O97),ISNUMBER(O100)),O65+O74+O86+O87+O97+O100,"SLO 不可達")</f>
        <v>129723.173138411</v>
      </c>
      <c r="P112" s="67" t="n">
        <f aca="false">IF(AND(ISNUMBER(P65),ISNUMBER(P86),ISNUMBER(P97),ISNUMBER(P100)),P65+P74+P86+P87+P97+P100,"SLO 不可達")</f>
        <v>294596.139079351</v>
      </c>
      <c r="Q112" s="67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0" t="s">
        <v>1093</v>
      </c>
      <c r="B113" s="61" t="s">
        <v>1023</v>
      </c>
      <c r="C113" s="67" t="n">
        <f aca="false">C36+C43+C51+C72+C89</f>
        <v>2790868.5872449</v>
      </c>
      <c r="D113" s="67" t="n">
        <f aca="false">D36+D43+D51+D72+D89</f>
        <v>9939519.11016751</v>
      </c>
      <c r="E113" s="67" t="n">
        <f aca="false">E36+E43+E51+E72+E89</f>
        <v>67377348.6676773</v>
      </c>
      <c r="F113" s="67" t="n">
        <f aca="false">F36+F43+F51+F72+F89</f>
        <v>1104625.78683153</v>
      </c>
      <c r="G113" s="67" t="n">
        <f aca="false">G36+G43+G51+G72+G89</f>
        <v>3934061.6638043</v>
      </c>
      <c r="H113" s="67" t="n">
        <f aca="false">H36+H43+H51+H72+H89</f>
        <v>26667954.6026667</v>
      </c>
      <c r="I113" s="67" t="n">
        <f aca="false">I36+I43+I51+I72+I89</f>
        <v>1104625.78683153</v>
      </c>
      <c r="J113" s="67" t="n">
        <f aca="false">J36+J43+J51+J72+J89</f>
        <v>3934061.6638043</v>
      </c>
      <c r="K113" s="67" t="n">
        <f aca="false">K36+K43+K51+K72+K89</f>
        <v>26667954.6026667</v>
      </c>
      <c r="L113" s="67" t="n">
        <f aca="false">L36+L43+L51+L72+L89</f>
        <v>350674.852962391</v>
      </c>
      <c r="M113" s="67" t="n">
        <f aca="false">M36+M43+M51+M72+M89</f>
        <v>1248908.46469978</v>
      </c>
      <c r="N113" s="67" t="n">
        <f aca="false">N36+N43+N51+N72+N89</f>
        <v>8466017.33417989</v>
      </c>
      <c r="O113" s="67" t="n">
        <f aca="false">O36+O43+O51+O72+O89</f>
        <v>175337.426481195</v>
      </c>
      <c r="P113" s="67" t="n">
        <f aca="false">P36+P43+P51+P72+P89</f>
        <v>624454.232349889</v>
      </c>
      <c r="Q113" s="67" t="n">
        <f aca="false">Q36+Q43+Q51+Q72+Q89</f>
        <v>4233008.66708995</v>
      </c>
    </row>
    <row r="114" customFormat="false" ht="15" hidden="false" customHeight="false" outlineLevel="0" collapsed="false">
      <c r="A114" s="60" t="s">
        <v>1094</v>
      </c>
      <c r="B114" s="61" t="s">
        <v>99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0.468873776625292</v>
      </c>
      <c r="G114" s="103" t="n">
        <f aca="false">IF(AND(ISNUMBER(G112),ISNUMBER(G106)),G112/G106,"SLO 不可達")</f>
        <v>0.360557968752346</v>
      </c>
      <c r="H114" s="103" t="n">
        <f aca="false">IF(AND(ISNUMBER(H112),ISNUMBER(H106)),H112/H106,"SLO 不可達")</f>
        <v>0.310530854618597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0" t="s">
        <v>1095</v>
      </c>
      <c r="B115" s="61" t="s">
        <v>877</v>
      </c>
      <c r="C115" s="112" t="n">
        <f aca="false">IF(AND(ISNUMBER(C106)),C106*C19/1000000,"SLO 不可達")</f>
        <v>11.2487211695643</v>
      </c>
      <c r="D115" s="112" t="n">
        <f aca="false">IF(AND(ISNUMBER(D106)),D106*D19/1000000,"SLO 不可達")</f>
        <v>31.2407308280994</v>
      </c>
      <c r="E115" s="112" t="n">
        <f aca="false">IF(AND(ISNUMBER(E106)),E106*E19/1000000,"SLO 不可達")</f>
        <v>190.238900722181</v>
      </c>
      <c r="F115" s="112" t="n">
        <f aca="false">IF(AND(ISNUMBER(F106)),F106*F19/1000000,"SLO 不可達")</f>
        <v>4.17715735160942</v>
      </c>
      <c r="G115" s="112" t="n">
        <f aca="false">IF(AND(ISNUMBER(G106)),G106*G19/1000000,"SLO 不可達")</f>
        <v>12.3567251189942</v>
      </c>
      <c r="H115" s="112" t="n">
        <f aca="false">IF(AND(ISNUMBER(H106)),H106*H19/1000000,"SLO 不可達")</f>
        <v>77.6851974236113</v>
      </c>
      <c r="I115" s="112" t="n">
        <f aca="false">IF(AND(ISNUMBER(I106)),I106*I19/1000000,"SLO 不可達")</f>
        <v>4.53006082719016</v>
      </c>
      <c r="J115" s="112" t="n">
        <f aca="false">IF(AND(ISNUMBER(J106)),J106*J19/1000000,"SLO 不可達")</f>
        <v>13.9173299912937</v>
      </c>
      <c r="K115" s="112" t="n">
        <f aca="false">IF(AND(ISNUMBER(K106)),K106*K19/1000000,"SLO 不可達")</f>
        <v>89.2500735203584</v>
      </c>
      <c r="L115" s="112" t="n">
        <f aca="false">IF(AND(ISNUMBER(L106)),L106*L19/1000000,"SLO 不可達")</f>
        <v>3.36863635569634</v>
      </c>
      <c r="M115" s="112" t="n">
        <f aca="false">IF(AND(ISNUMBER(M106)),M106*M19/1000000,"SLO 不可達")</f>
        <v>9.8126535738025</v>
      </c>
      <c r="N115" s="112" t="n">
        <f aca="false">IF(AND(ISNUMBER(N106)),N106*N19/1000000,"SLO 不可達")</f>
        <v>61.1546231086832</v>
      </c>
      <c r="O115" s="112" t="n">
        <f aca="false">IF(AND(ISNUMBER(O106)),O106*O19/1000000,"SLO 不可達")</f>
        <v>2.74547464356203</v>
      </c>
      <c r="P115" s="112" t="n">
        <f aca="false">IF(AND(ISNUMBER(P106)),P106*P19/1000000,"SLO 不可達")</f>
        <v>8.27124018657791</v>
      </c>
      <c r="Q115" s="112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0" t="s">
        <v>1096</v>
      </c>
      <c r="B116" s="61" t="s">
        <v>877</v>
      </c>
      <c r="C116" s="74" t="n">
        <f aca="false">IF(AND(ISNUMBER(C106)),C106*C20/1000000,"SLO 不可達")</f>
        <v>8.2357563712675</v>
      </c>
      <c r="D116" s="74" t="n">
        <f aca="false">IF(AND(ISNUMBER(D106)),D106*D20/1000000,"SLO 不可達")</f>
        <v>22.8729154258642</v>
      </c>
      <c r="E116" s="74" t="n">
        <f aca="false">IF(AND(ISNUMBER(E106)),E106*E20/1000000,"SLO 不可達")</f>
        <v>139.283498547801</v>
      </c>
      <c r="F116" s="74" t="n">
        <f aca="false">IF(AND(ISNUMBER(F106)),F106*F20/1000000,"SLO 不可達")</f>
        <v>3.05150971473876</v>
      </c>
      <c r="G116" s="74" t="n">
        <f aca="false">IF(AND(ISNUMBER(G106)),G106*G20/1000000,"SLO 不可達")</f>
        <v>9.02687248026205</v>
      </c>
      <c r="H116" s="74" t="n">
        <f aca="false">IF(AND(ISNUMBER(H106)),H106*H20/1000000,"SLO 不可達")</f>
        <v>56.7508270997291</v>
      </c>
      <c r="I116" s="74" t="n">
        <f aca="false">IF(AND(ISNUMBER(I106)),I106*I20/1000000,"SLO 不可達")</f>
        <v>3.32477189415715</v>
      </c>
      <c r="J116" s="74" t="n">
        <f aca="false">IF(AND(ISNUMBER(J106)),J106*J20/1000000,"SLO 不可達")</f>
        <v>10.214420812858</v>
      </c>
      <c r="K116" s="74" t="n">
        <f aca="false">IF(AND(ISNUMBER(K106)),K106*K20/1000000,"SLO 不可達")</f>
        <v>65.5037862209021</v>
      </c>
      <c r="L116" s="74" t="n">
        <f aca="false">IF(AND(ISNUMBER(L106)),L106*L20/1000000,"SLO 不可達")</f>
        <v>2.47776162478379</v>
      </c>
      <c r="M116" s="74" t="n">
        <f aca="false">IF(AND(ISNUMBER(M106)),M106*M20/1000000,"SLO 不可達")</f>
        <v>7.21758417804626</v>
      </c>
      <c r="N116" s="74" t="n">
        <f aca="false">IF(AND(ISNUMBER(N106)),N106*N20/1000000,"SLO 不可達")</f>
        <v>44.9815778009344</v>
      </c>
      <c r="O116" s="74" t="n">
        <f aca="false">IF(AND(ISNUMBER(O106)),O106*O20/1000000,"SLO 不可達")</f>
        <v>2.02669398004938</v>
      </c>
      <c r="P116" s="74" t="n">
        <f aca="false">IF(AND(ISNUMBER(P106)),P106*P20/1000000,"SLO 不可達")</f>
        <v>6.1057831049319</v>
      </c>
      <c r="Q116" s="74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0" t="s">
        <v>1097</v>
      </c>
      <c r="B117" s="61" t="s">
        <v>99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0.00047316255233276</v>
      </c>
      <c r="G117" s="145" t="n">
        <f aca="false">IF(AND(ISNUMBER(G106)),G106/(G18*8760),"SLO 不可達")</f>
        <v>0.00139969340478039</v>
      </c>
      <c r="H117" s="145" t="n">
        <f aca="false">IF(AND(ISNUMBER(H106)),H106/(H18*8760),"SLO 不可達")</f>
        <v>0.00879969874184123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</row>
    <row r="118" customFormat="false" ht="15" hidden="false" customHeight="false" outlineLevel="0" collapsed="false">
      <c r="A118" s="75" t="s">
        <v>1098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</row>
    <row r="119" customFormat="false" ht="15" hidden="false" customHeight="false" outlineLevel="0" collapsed="false">
      <c r="A119" s="60" t="s">
        <v>1099</v>
      </c>
      <c r="B119" s="61" t="s">
        <v>103</v>
      </c>
      <c r="C119" s="108" t="n">
        <f aca="false">Train_In!$C$13</f>
        <v>8</v>
      </c>
      <c r="D119" s="108" t="n">
        <f aca="false">Train_In!$C$13</f>
        <v>8</v>
      </c>
      <c r="E119" s="108" t="n">
        <f aca="false">Train_In!$C$13</f>
        <v>8</v>
      </c>
      <c r="F119" s="108" t="n">
        <f aca="false">Train_In!$C$13</f>
        <v>8</v>
      </c>
      <c r="G119" s="108" t="n">
        <f aca="false">Train_In!$C$13</f>
        <v>8</v>
      </c>
      <c r="H119" s="108" t="n">
        <f aca="false">Train_In!$C$13</f>
        <v>8</v>
      </c>
      <c r="I119" s="108" t="n">
        <f aca="false">Train_In!$C$13</f>
        <v>8</v>
      </c>
      <c r="J119" s="108" t="n">
        <f aca="false">Train_In!$C$13</f>
        <v>8</v>
      </c>
      <c r="K119" s="108" t="n">
        <f aca="false">Train_In!$C$13</f>
        <v>8</v>
      </c>
      <c r="L119" s="108" t="n">
        <f aca="false">Train_In!$C$13</f>
        <v>8</v>
      </c>
      <c r="M119" s="108" t="n">
        <f aca="false">Train_In!$C$13</f>
        <v>8</v>
      </c>
      <c r="N119" s="108" t="n">
        <f aca="false">Train_In!$C$13</f>
        <v>8</v>
      </c>
      <c r="O119" s="108" t="n">
        <f aca="false">Train_In!$C$13</f>
        <v>8</v>
      </c>
      <c r="P119" s="108" t="n">
        <f aca="false">Train_In!$C$13</f>
        <v>8</v>
      </c>
      <c r="Q119" s="108" t="n">
        <f aca="false">Train_In!$C$13</f>
        <v>8</v>
      </c>
    </row>
    <row r="120" customFormat="false" ht="15" hidden="false" customHeight="false" outlineLevel="0" collapsed="false">
      <c r="A120" s="60" t="s">
        <v>1100</v>
      </c>
      <c r="B120" s="61" t="s">
        <v>1023</v>
      </c>
      <c r="C120" s="70" t="n">
        <f aca="false">IF(AND(ISNUMBER(C106)),C106*C119,"SLO 不可達")</f>
        <v>58336555.6480691</v>
      </c>
      <c r="D120" s="70" t="n">
        <f aca="false">IF(AND(ISNUMBER(D106)),D106*D119,"SLO 不可達")</f>
        <v>162016339.899227</v>
      </c>
      <c r="E120" s="70" t="n">
        <f aca="false">IF(AND(ISNUMBER(E106)),E106*E119,"SLO 不可達")</f>
        <v>986590568.929256</v>
      </c>
      <c r="F120" s="70" t="n">
        <f aca="false">IF(AND(ISNUMBER(F106)),F106*F119,"SLO 不可達")</f>
        <v>16638241.355328</v>
      </c>
      <c r="G120" s="70" t="n">
        <f aca="false">IF(AND(ISNUMBER(G106)),G106*G119,"SLO 不可達")</f>
        <v>49218680.9319158</v>
      </c>
      <c r="H120" s="70" t="n">
        <f aca="false">IF(AND(ISNUMBER(H106)),H106*H119,"SLO 不可達")</f>
        <v>309431739.259797</v>
      </c>
      <c r="I120" s="70" t="n">
        <f aca="false">IF(AND(ISNUMBER(I106)),I106*I119,"SLO 不可達")</f>
        <v>14201999.5820546</v>
      </c>
      <c r="J120" s="70" t="n">
        <f aca="false">IF(AND(ISNUMBER(J106)),J106*J119,"SLO 不可達")</f>
        <v>43631624.8853258</v>
      </c>
      <c r="K120" s="70" t="n">
        <f aca="false">IF(AND(ISNUMBER(K106)),K106*K119,"SLO 不可達")</f>
        <v>279804081.046011</v>
      </c>
      <c r="L120" s="70" t="n">
        <f aca="false">IF(AND(ISNUMBER(L106)),L106*L119,"SLO 不可達")</f>
        <v>5633581.19099958</v>
      </c>
      <c r="M120" s="70" t="n">
        <f aca="false">IF(AND(ISNUMBER(M106)),M106*M119,"SLO 不可達")</f>
        <v>16410314.0767004</v>
      </c>
      <c r="N120" s="70" t="n">
        <f aca="false">IF(AND(ISNUMBER(N106)),N106*N119,"SLO 不可達")</f>
        <v>102272699.724672</v>
      </c>
      <c r="O120" s="70" t="n">
        <f aca="false">IF(AND(ISNUMBER(O106)),O106*O119,"SLO 不可達")</f>
        <v>2440484.79695685</v>
      </c>
      <c r="P120" s="70" t="n">
        <f aca="false">IF(AND(ISNUMBER(P106)),P106*P119,"SLO 不可達")</f>
        <v>7352402.97143392</v>
      </c>
      <c r="Q120" s="70" t="n">
        <f aca="false">IF(AND(ISNUMBER(Q106)),Q106*Q119,"SLO 不可達")</f>
        <v>46491866.832671</v>
      </c>
    </row>
    <row r="121" customFormat="false" ht="15" hidden="false" customHeight="false" outlineLevel="0" collapsed="false">
      <c r="A121" s="60" t="s">
        <v>1101</v>
      </c>
      <c r="B121" s="61" t="s">
        <v>1023</v>
      </c>
      <c r="C121" s="67" t="n">
        <f aca="false">IF(AND(ISNUMBER(C120),ISNUMBER(C106)),C120-C106,"SLO 不可達")</f>
        <v>51044486.1920604</v>
      </c>
      <c r="D121" s="67" t="n">
        <f aca="false">IF(AND(ISNUMBER(D120),ISNUMBER(D106)),D120-D106,"SLO 不可達")</f>
        <v>141764297.411824</v>
      </c>
      <c r="E121" s="67" t="n">
        <f aca="false">IF(AND(ISNUMBER(E120),ISNUMBER(E106)),E120-E106,"SLO 不可達")</f>
        <v>863266747.813099</v>
      </c>
      <c r="F121" s="67" t="n">
        <f aca="false">IF(AND(ISNUMBER(F120),ISNUMBER(F106)),F120-F106,"SLO 不可達")</f>
        <v>14558461.185912</v>
      </c>
      <c r="G121" s="67" t="n">
        <f aca="false">IF(AND(ISNUMBER(G120),ISNUMBER(G106)),G120-G106,"SLO 不可達")</f>
        <v>43066345.8154263</v>
      </c>
      <c r="H121" s="67" t="n">
        <f aca="false">IF(AND(ISNUMBER(H120),ISNUMBER(H106)),H120-H106,"SLO 不可達")</f>
        <v>270752771.852322</v>
      </c>
      <c r="I121" s="67" t="n">
        <f aca="false">IF(AND(ISNUMBER(I120),ISNUMBER(I106)),I120-I106,"SLO 不可達")</f>
        <v>12426749.6342978</v>
      </c>
      <c r="J121" s="67" t="n">
        <f aca="false">IF(AND(ISNUMBER(J120),ISNUMBER(J106)),J120-J106,"SLO 不可達")</f>
        <v>38177671.7746601</v>
      </c>
      <c r="K121" s="67" t="n">
        <f aca="false">IF(AND(ISNUMBER(K120),ISNUMBER(K106)),K120-K106,"SLO 不可達")</f>
        <v>244828570.91526</v>
      </c>
      <c r="L121" s="67" t="n">
        <f aca="false">IF(AND(ISNUMBER(L120),ISNUMBER(L106)),L120-L106,"SLO 不可達")</f>
        <v>4929383.54212463</v>
      </c>
      <c r="M121" s="67" t="n">
        <f aca="false">IF(AND(ISNUMBER(M120),ISNUMBER(M106)),M120-M106,"SLO 不可達")</f>
        <v>14359024.8171129</v>
      </c>
      <c r="N121" s="67" t="n">
        <f aca="false">IF(AND(ISNUMBER(N120),ISNUMBER(N106)),N120-N106,"SLO 不可達")</f>
        <v>89488612.259088</v>
      </c>
      <c r="O121" s="67" t="n">
        <f aca="false">IF(AND(ISNUMBER(O120),ISNUMBER(O106)),O120-O106,"SLO 不可達")</f>
        <v>2135424.19733724</v>
      </c>
      <c r="P121" s="67" t="n">
        <f aca="false">IF(AND(ISNUMBER(P120),ISNUMBER(P106)),P120-P106,"SLO 不可達")</f>
        <v>6433352.60000468</v>
      </c>
      <c r="Q121" s="67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0" t="s">
        <v>1102</v>
      </c>
      <c r="B122" s="61" t="s">
        <v>877</v>
      </c>
      <c r="C122" s="70" t="n">
        <f aca="false">IF(AND(ISNUMBER(C120)),C120*C19/1000000,"SLO 不可達")</f>
        <v>89.9897693565145</v>
      </c>
      <c r="D122" s="70" t="n">
        <f aca="false">IF(AND(ISNUMBER(D120)),D120*D19/1000000,"SLO 不可達")</f>
        <v>249.925846624795</v>
      </c>
      <c r="E122" s="70" t="n">
        <f aca="false">IF(AND(ISNUMBER(E120)),E120*E19/1000000,"SLO 不可達")</f>
        <v>1521.91120577745</v>
      </c>
      <c r="F122" s="70" t="n">
        <f aca="false">IF(AND(ISNUMBER(F120)),F120*F19/1000000,"SLO 不可達")</f>
        <v>33.4172588128753</v>
      </c>
      <c r="G122" s="70" t="n">
        <f aca="false">IF(AND(ISNUMBER(G120)),G120*G19/1000000,"SLO 不可達")</f>
        <v>98.8538009519539</v>
      </c>
      <c r="H122" s="70" t="n">
        <f aca="false">IF(AND(ISNUMBER(H120)),H120*H19/1000000,"SLO 不可達")</f>
        <v>621.48157938889</v>
      </c>
      <c r="I122" s="70" t="n">
        <f aca="false">IF(AND(ISNUMBER(I120)),I120*I19/1000000,"SLO 不可達")</f>
        <v>36.2404866175213</v>
      </c>
      <c r="J122" s="70" t="n">
        <f aca="false">IF(AND(ISNUMBER(J120)),J120*J19/1000000,"SLO 不可達")</f>
        <v>111.33863993035</v>
      </c>
      <c r="K122" s="70" t="n">
        <f aca="false">IF(AND(ISNUMBER(K120)),K120*K19/1000000,"SLO 不可達")</f>
        <v>714.000588162868</v>
      </c>
      <c r="L122" s="70" t="n">
        <f aca="false">IF(AND(ISNUMBER(L120)),L120*L19/1000000,"SLO 不可達")</f>
        <v>26.9490908455707</v>
      </c>
      <c r="M122" s="70" t="n">
        <f aca="false">IF(AND(ISNUMBER(M120)),M120*M19/1000000,"SLO 不可達")</f>
        <v>78.50122859042</v>
      </c>
      <c r="N122" s="70" t="n">
        <f aca="false">IF(AND(ISNUMBER(N120)),N120*N19/1000000,"SLO 不可達")</f>
        <v>489.236984869465</v>
      </c>
      <c r="O122" s="70" t="n">
        <f aca="false">IF(AND(ISNUMBER(O120)),O120*O19/1000000,"SLO 不可達")</f>
        <v>21.9637971484962</v>
      </c>
      <c r="P122" s="70" t="n">
        <f aca="false">IF(AND(ISNUMBER(P120)),P120*P19/1000000,"SLO 不可達")</f>
        <v>66.1699214926233</v>
      </c>
      <c r="Q122" s="70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0" t="s">
        <v>1103</v>
      </c>
      <c r="B123" s="61" t="s">
        <v>99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0.00378530041866208</v>
      </c>
      <c r="G123" s="100" t="n">
        <f aca="false">IF(AND(ISNUMBER(G120)),G120/(G18*8760),"SLO 不可達")</f>
        <v>0.0111975472382432</v>
      </c>
      <c r="H123" s="100" t="n">
        <f aca="false">IF(AND(ISNUMBER(H120)),H120/(H18*8760),"SLO 不可達")</f>
        <v>0.0703975899347298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5" t="s">
        <v>1104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</row>
    <row r="125" customFormat="false" ht="15" hidden="false" customHeight="false" outlineLevel="0" collapsed="false">
      <c r="A125" s="60" t="s">
        <v>1105</v>
      </c>
      <c r="B125" s="61" t="s">
        <v>1023</v>
      </c>
      <c r="C125" s="67" t="n">
        <f aca="false">C103</f>
        <v>2323127.22501969</v>
      </c>
      <c r="D125" s="67" t="n">
        <f aca="false">D103</f>
        <v>8330343.13024751</v>
      </c>
      <c r="E125" s="67" t="n">
        <f aca="false">E103</f>
        <v>45238344.5556117</v>
      </c>
      <c r="F125" s="67" t="n">
        <f aca="false">F103</f>
        <v>919493.755662791</v>
      </c>
      <c r="G125" s="67" t="n">
        <f aca="false">G103</f>
        <v>3297149.81095196</v>
      </c>
      <c r="H125" s="67" t="n">
        <f aca="false">H103</f>
        <v>17905336.7751111</v>
      </c>
      <c r="I125" s="67" t="n">
        <f aca="false">I103</f>
        <v>919493.755662791</v>
      </c>
      <c r="J125" s="67" t="n">
        <f aca="false">J103</f>
        <v>3297149.81095196</v>
      </c>
      <c r="K125" s="67" t="n">
        <f aca="false">K103</f>
        <v>17905336.7751111</v>
      </c>
      <c r="L125" s="67" t="n">
        <f aca="false">L103</f>
        <v>291902.779575489</v>
      </c>
      <c r="M125" s="67" t="n">
        <f aca="false">M103</f>
        <v>1046714.22569904</v>
      </c>
      <c r="N125" s="67" t="n">
        <f aca="false">N103</f>
        <v>5684233.89686067</v>
      </c>
      <c r="O125" s="67" t="n">
        <f aca="false">O103</f>
        <v>145951.389787745</v>
      </c>
      <c r="P125" s="67" t="n">
        <f aca="false">P103</f>
        <v>523357.112849518</v>
      </c>
      <c r="Q125" s="67" t="n">
        <f aca="false">Q103</f>
        <v>2842116.94843034</v>
      </c>
    </row>
    <row r="126" customFormat="false" ht="15" hidden="false" customHeight="false" outlineLevel="0" collapsed="false">
      <c r="A126" s="60" t="s">
        <v>1106</v>
      </c>
      <c r="B126" s="61" t="s">
        <v>1023</v>
      </c>
      <c r="C126" s="67" t="n">
        <f aca="false">IF(AND(ISNUMBER(C65),ISNUMBER(C86)),C65+C74+C86+C87,"SLO 不可達")</f>
        <v>689181.096248015</v>
      </c>
      <c r="D126" s="67" t="n">
        <f aca="false">IF(AND(ISNUMBER(D65),ISNUMBER(D86)),D65+D74+D86+D87,"SLO 不可達")</f>
        <v>2654208.29934433</v>
      </c>
      <c r="E126" s="67" t="n">
        <f aca="false">IF(AND(ISNUMBER(E65),ISNUMBER(E86)),E65+E74+E86+E87,"SLO 不可達")</f>
        <v>44143157.7797533</v>
      </c>
      <c r="F126" s="67" t="n">
        <f aca="false">IF(AND(ISNUMBER(F65),ISNUMBER(F86)),F65+F74+F86+F87,"SLO 不可達")</f>
        <v>154770.265521203</v>
      </c>
      <c r="G126" s="67" t="n">
        <f aca="false">IF(AND(ISNUMBER(G65),ISNUMBER(G86)),G65+G74+G86+G87,"SLO 不可達")</f>
        <v>570158.075967781</v>
      </c>
      <c r="H126" s="67" t="n">
        <f aca="false">IF(AND(ISNUMBER(H65),ISNUMBER(H86)),H65+H74+H86+H87,"SLO 不可達")</f>
        <v>9470984.31652877</v>
      </c>
      <c r="I126" s="67" t="n">
        <f aca="false">IF(AND(ISNUMBER(I65),ISNUMBER(I86)),I65+I74+I86+I87,"SLO 不可達")</f>
        <v>103180.177014136</v>
      </c>
      <c r="J126" s="67" t="n">
        <f aca="false">IF(AND(ISNUMBER(J65),ISNUMBER(J86)),J65+J74+J86+J87,"SLO 不可達")</f>
        <v>380105.383978521</v>
      </c>
      <c r="K126" s="67" t="n">
        <f aca="false">IF(AND(ISNUMBER(K65),ISNUMBER(K86)),K65+K74+K86+K87,"SLO 不可達")</f>
        <v>6550587.3610381</v>
      </c>
      <c r="L126" s="67" t="n">
        <f aca="false">IF(AND(ISNUMBER(L65),ISNUMBER(L86)),L65+L74+L86+L87,"SLO 不可達")</f>
        <v>58445.864632259</v>
      </c>
      <c r="M126" s="67" t="n">
        <f aca="false">IF(AND(ISNUMBER(M65),ISNUMBER(M86)),M65+M74+M86+M87,"SLO 不可達")</f>
        <v>209542.386794135</v>
      </c>
      <c r="N126" s="67" t="n">
        <f aca="false">IF(AND(ISNUMBER(N65),ISNUMBER(N86)),N65+N74+N86+N87,"SLO 不可達")</f>
        <v>3404528.00266708</v>
      </c>
      <c r="O126" s="67" t="n">
        <f aca="false">IF(AND(ISNUMBER(O65),ISNUMBER(O86)),O65+O74+O86+O87,"SLO 不可達")</f>
        <v>21917.6838836303</v>
      </c>
      <c r="P126" s="67" t="n">
        <f aca="false">IF(AND(ISNUMBER(P65),ISNUMBER(P86)),P65+P74+P86+P87,"SLO 不可達")</f>
        <v>77990.4668776312</v>
      </c>
      <c r="Q126" s="67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0" t="s">
        <v>1107</v>
      </c>
      <c r="B127" s="61" t="s">
        <v>1023</v>
      </c>
      <c r="C127" s="67" t="n">
        <f aca="false">C51+C72+C89</f>
        <v>467741.362225214</v>
      </c>
      <c r="D127" s="67" t="n">
        <f aca="false">D51+D72+D89</f>
        <v>1609175.97992</v>
      </c>
      <c r="E127" s="67" t="n">
        <f aca="false">E51+E72+E89</f>
        <v>22139004.1120656</v>
      </c>
      <c r="F127" s="67" t="n">
        <f aca="false">F51+F72+F89</f>
        <v>185132.03116874</v>
      </c>
      <c r="G127" s="67" t="n">
        <f aca="false">G51+G72+G89</f>
        <v>636911.852852338</v>
      </c>
      <c r="H127" s="67" t="n">
        <f aca="false">H51+H72+H89</f>
        <v>8762617.82755555</v>
      </c>
      <c r="I127" s="67" t="n">
        <f aca="false">I51+I72+I89</f>
        <v>185132.03116874</v>
      </c>
      <c r="J127" s="67" t="n">
        <f aca="false">J51+J72+J89</f>
        <v>636911.852852338</v>
      </c>
      <c r="K127" s="67" t="n">
        <f aca="false">K51+K72+K89</f>
        <v>8762617.82755555</v>
      </c>
      <c r="L127" s="67" t="n">
        <f aca="false">L51+L72+L89</f>
        <v>58772.0733869014</v>
      </c>
      <c r="M127" s="67" t="n">
        <f aca="false">M51+M72+M89</f>
        <v>202194.239000742</v>
      </c>
      <c r="N127" s="67" t="n">
        <f aca="false">N51+N72+N89</f>
        <v>2781783.43731922</v>
      </c>
      <c r="O127" s="67" t="n">
        <f aca="false">O51+O72+O89</f>
        <v>29386.0366934507</v>
      </c>
      <c r="P127" s="67" t="n">
        <f aca="false">P51+P72+P89</f>
        <v>101097.119500371</v>
      </c>
      <c r="Q127" s="67" t="n">
        <f aca="false">Q51+Q72+Q89</f>
        <v>1390891.71865961</v>
      </c>
    </row>
    <row r="128" customFormat="false" ht="15" hidden="false" customHeight="false" outlineLevel="0" collapsed="false">
      <c r="A128" s="60" t="s">
        <v>1108</v>
      </c>
      <c r="B128" s="61" t="s">
        <v>1023</v>
      </c>
      <c r="C128" s="67" t="n">
        <f aca="false">IF(AND(ISNUMBER(C105)),C105,"SLO 不可達")</f>
        <v>3812019.77251572</v>
      </c>
      <c r="D128" s="67" t="n">
        <f aca="false">IF(AND(ISNUMBER(D105)),D105,"SLO 不可達")</f>
        <v>7658315.07789158</v>
      </c>
      <c r="E128" s="67" t="n">
        <f aca="false">IF(AND(ISNUMBER(E105)),E105,"SLO 不可達")</f>
        <v>11803314.6687264</v>
      </c>
      <c r="F128" s="67" t="n">
        <f aca="false">IF(AND(ISNUMBER(F105)),F105,"SLO 不可達")</f>
        <v>820384.117063266</v>
      </c>
      <c r="G128" s="67" t="n">
        <f aca="false">IF(AND(ISNUMBER(G105)),G105,"SLO 不可達")</f>
        <v>1648115.37671739</v>
      </c>
      <c r="H128" s="67" t="n">
        <f aca="false">IF(AND(ISNUMBER(H105)),H105,"SLO 不可達")</f>
        <v>2540028.48827918</v>
      </c>
      <c r="I128" s="67" t="n">
        <f aca="false">IF(AND(ISNUMBER(I105)),I105,"SLO 不可達")</f>
        <v>567443.983911165</v>
      </c>
      <c r="J128" s="67" t="n">
        <f aca="false">IF(AND(ISNUMBER(J105)),J105,"SLO 不可達")</f>
        <v>1139786.0628829</v>
      </c>
      <c r="K128" s="67" t="n">
        <f aca="false">IF(AND(ISNUMBER(K105)),K105,"SLO 不可達")</f>
        <v>1756968.16704665</v>
      </c>
      <c r="L128" s="67" t="n">
        <f aca="false">IF(AND(ISNUMBER(L105)),L105,"SLO 不可達")</f>
        <v>295076.931280297</v>
      </c>
      <c r="M128" s="67" t="n">
        <f aca="false">IF(AND(ISNUMBER(M105)),M105,"SLO 不可達")</f>
        <v>592838.408093639</v>
      </c>
      <c r="N128" s="67" t="n">
        <f aca="false">IF(AND(ISNUMBER(N105)),N105,"SLO 不可達")</f>
        <v>913542.128737021</v>
      </c>
      <c r="O128" s="67" t="n">
        <f aca="false">IF(AND(ISNUMBER(O105)),O105,"SLO 不可達")</f>
        <v>107805.489254781</v>
      </c>
      <c r="P128" s="67" t="n">
        <f aca="false">IF(AND(ISNUMBER(P105)),P105,"SLO 不可達")</f>
        <v>216605.67220172</v>
      </c>
      <c r="Q128" s="67" t="n">
        <f aca="false">IF(AND(ISNUMBER(Q105)),Q105,"SLO 不可達")</f>
        <v>333749.222961523</v>
      </c>
    </row>
    <row r="129" customFormat="false" ht="15" hidden="false" customHeight="false" outlineLevel="0" collapsed="false">
      <c r="A129" s="60" t="s">
        <v>1109</v>
      </c>
      <c r="B129" s="61" t="s">
        <v>1023</v>
      </c>
      <c r="C129" s="67" t="n">
        <f aca="false">IF(AND(ISNUMBER(C121)),C121,"SLO 不可達")</f>
        <v>51044486.1920604</v>
      </c>
      <c r="D129" s="67" t="n">
        <f aca="false">IF(AND(ISNUMBER(D121)),D121,"SLO 不可達")</f>
        <v>141764297.411824</v>
      </c>
      <c r="E129" s="67" t="n">
        <f aca="false">IF(AND(ISNUMBER(E121)),E121,"SLO 不可達")</f>
        <v>863266747.813099</v>
      </c>
      <c r="F129" s="67" t="n">
        <f aca="false">IF(AND(ISNUMBER(F121)),F121,"SLO 不可達")</f>
        <v>14558461.185912</v>
      </c>
      <c r="G129" s="67" t="n">
        <f aca="false">IF(AND(ISNUMBER(G121)),G121,"SLO 不可達")</f>
        <v>43066345.8154263</v>
      </c>
      <c r="H129" s="67" t="n">
        <f aca="false">IF(AND(ISNUMBER(H121)),H121,"SLO 不可達")</f>
        <v>270752771.852322</v>
      </c>
      <c r="I129" s="67" t="n">
        <f aca="false">IF(AND(ISNUMBER(I121)),I121,"SLO 不可達")</f>
        <v>12426749.6342978</v>
      </c>
      <c r="J129" s="67" t="n">
        <f aca="false">IF(AND(ISNUMBER(J121)),J121,"SLO 不可達")</f>
        <v>38177671.7746601</v>
      </c>
      <c r="K129" s="67" t="n">
        <f aca="false">IF(AND(ISNUMBER(K121)),K121,"SLO 不可達")</f>
        <v>244828570.91526</v>
      </c>
      <c r="L129" s="67" t="n">
        <f aca="false">IF(AND(ISNUMBER(L121)),L121,"SLO 不可達")</f>
        <v>4929383.54212463</v>
      </c>
      <c r="M129" s="67" t="n">
        <f aca="false">IF(AND(ISNUMBER(M121)),M121,"SLO 不可達")</f>
        <v>14359024.8171129</v>
      </c>
      <c r="N129" s="67" t="n">
        <f aca="false">IF(AND(ISNUMBER(N121)),N121,"SLO 不可達")</f>
        <v>89488612.259088</v>
      </c>
      <c r="O129" s="67" t="n">
        <f aca="false">IF(AND(ISNUMBER(O121)),O121,"SLO 不可達")</f>
        <v>2135424.19733724</v>
      </c>
      <c r="P129" s="67" t="n">
        <f aca="false">IF(AND(ISNUMBER(P121)),P121,"SLO 不可達")</f>
        <v>6433352.60000468</v>
      </c>
      <c r="Q129" s="67" t="n">
        <f aca="false">IF(AND(ISNUMBER(Q121)),Q121,"SLO 不可達")</f>
        <v>40680383.4785872</v>
      </c>
    </row>
    <row r="130" customFormat="false" ht="15" hidden="false" customHeight="false" outlineLevel="0" collapsed="false">
      <c r="A130" s="75" t="s">
        <v>1110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</row>
    <row r="131" customFormat="false" ht="15" hidden="false" customHeight="false" outlineLevel="0" collapsed="false">
      <c r="A131" s="60" t="s">
        <v>1111</v>
      </c>
      <c r="B131" s="61" t="s">
        <v>1023</v>
      </c>
      <c r="C131" s="70" t="n">
        <f aca="false">IF(COUNT(INDEX($C$106:$Q$106,1,3*(C$6-1)+1):INDEX($C$106:$Q$106,1,3*(C$6-1)+3))=3,SUMIF($C$6:$Q$6,C$6,$C$106:$Q$106),"SLO 不可達")</f>
        <v>150867933.059569</v>
      </c>
      <c r="D131" s="70" t="n">
        <f aca="false">IF(COUNT(INDEX($C$106:$Q$106,1,3*(D$6-1)+1):INDEX($C$106:$Q$106,1,3*(D$6-1)+3))=3,SUMIF($C$6:$Q$6,D$6,$C$106:$Q$106),"SLO 不可達")</f>
        <v>150867933.059569</v>
      </c>
      <c r="E131" s="70" t="n">
        <f aca="false">IF(COUNT(INDEX($C$106:$Q$106,1,3*(E$6-1)+1):INDEX($C$106:$Q$106,1,3*(E$6-1)+3))=3,SUMIF($C$6:$Q$6,E$6,$C$106:$Q$106),"SLO 不可達")</f>
        <v>150867933.059569</v>
      </c>
      <c r="F131" s="70" t="n">
        <f aca="false">IF(COUNT(INDEX($C$106:$Q$106,1,3*(F$6-1)+1):INDEX($C$106:$Q$106,1,3*(F$6-1)+3))=3,SUMIF($C$6:$Q$6,F$6,$C$106:$Q$106),"SLO 不可達")</f>
        <v>46911082.6933801</v>
      </c>
      <c r="G131" s="70" t="n">
        <f aca="false">IF(COUNT(INDEX($C$106:$Q$106,1,3*(G$6-1)+1):INDEX($C$106:$Q$106,1,3*(G$6-1)+3))=3,SUMIF($C$6:$Q$6,G$6,$C$106:$Q$106),"SLO 不可達")</f>
        <v>46911082.6933801</v>
      </c>
      <c r="H131" s="70" t="n">
        <f aca="false">IF(COUNT(INDEX($C$106:$Q$106,1,3*(H$6-1)+1):INDEX($C$106:$Q$106,1,3*(H$6-1)+3))=3,SUMIF($C$6:$Q$6,H$6,$C$106:$Q$106),"SLO 不可達")</f>
        <v>46911082.6933801</v>
      </c>
      <c r="I131" s="70" t="n">
        <f aca="false">IF(COUNT(INDEX($C$106:$Q$106,1,3*(I$6-1)+1):INDEX($C$106:$Q$106,1,3*(I$6-1)+3))=3,SUMIF($C$6:$Q$6,I$6,$C$106:$Q$106),"SLO 不可達")</f>
        <v>42204713.189174</v>
      </c>
      <c r="J131" s="70" t="n">
        <f aca="false">IF(COUNT(INDEX($C$106:$Q$106,1,3*(J$6-1)+1):INDEX($C$106:$Q$106,1,3*(J$6-1)+3))=3,SUMIF($C$6:$Q$6,J$6,$C$106:$Q$106),"SLO 不可達")</f>
        <v>42204713.189174</v>
      </c>
      <c r="K131" s="70" t="n">
        <f aca="false">IF(COUNT(INDEX($C$106:$Q$106,1,3*(K$6-1)+1):INDEX($C$106:$Q$106,1,3*(K$6-1)+3))=3,SUMIF($C$6:$Q$6,K$6,$C$106:$Q$106),"SLO 不可達")</f>
        <v>42204713.189174</v>
      </c>
      <c r="L131" s="70" t="n">
        <f aca="false">IF(COUNT(INDEX($C$106:$Q$106,1,3*(L$6-1)+1):INDEX($C$106:$Q$106,1,3*(L$6-1)+3))=3,SUMIF($C$6:$Q$6,L$6,$C$106:$Q$106),"SLO 不可達")</f>
        <v>15539574.3740465</v>
      </c>
      <c r="M131" s="70" t="n">
        <f aca="false">IF(COUNT(INDEX($C$106:$Q$106,1,3*(M$6-1)+1):INDEX($C$106:$Q$106,1,3*(M$6-1)+3))=3,SUMIF($C$6:$Q$6,M$6,$C$106:$Q$106),"SLO 不可達")</f>
        <v>15539574.3740465</v>
      </c>
      <c r="N131" s="70" t="n">
        <f aca="false">IF(COUNT(INDEX($C$106:$Q$106,1,3*(N$6-1)+1):INDEX($C$106:$Q$106,1,3*(N$6-1)+3))=3,SUMIF($C$6:$Q$6,N$6,$C$106:$Q$106),"SLO 不可達")</f>
        <v>15539574.3740465</v>
      </c>
      <c r="O131" s="70" t="n">
        <f aca="false">IF(COUNT(INDEX($C$106:$Q$106,1,3*(O$6-1)+1):INDEX($C$106:$Q$106,1,3*(O$6-1)+3))=3,SUMIF($C$6:$Q$6,O$6,$C$106:$Q$106),"SLO 不可達")</f>
        <v>7035594.32513273</v>
      </c>
      <c r="P131" s="70" t="n">
        <f aca="false">IF(COUNT(INDEX($C$106:$Q$106,1,3*(P$6-1)+1):INDEX($C$106:$Q$106,1,3*(P$6-1)+3))=3,SUMIF($C$6:$Q$6,P$6,$C$106:$Q$106),"SLO 不可達")</f>
        <v>7035594.32513273</v>
      </c>
      <c r="Q131" s="70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0" t="s">
        <v>1112</v>
      </c>
      <c r="B132" s="61" t="s">
        <v>1023</v>
      </c>
      <c r="C132" s="70" t="n">
        <f aca="false">IF(COUNT(INDEX($C$120:$Q$120,1,3*(C$6-1)+1):INDEX($C$120:$Q$120,1,3*(C$6-1)+3))=3,SUMIF($C$6:$Q$6,C$6,$C$120:$Q$120),"SLO 不可達")</f>
        <v>1206943464.47655</v>
      </c>
      <c r="D132" s="70" t="n">
        <f aca="false">IF(COUNT(INDEX($C$120:$Q$120,1,3*(D$6-1)+1):INDEX($C$120:$Q$120,1,3*(D$6-1)+3))=3,SUMIF($C$6:$Q$6,D$6,$C$120:$Q$120),"SLO 不可達")</f>
        <v>1206943464.47655</v>
      </c>
      <c r="E132" s="70" t="n">
        <f aca="false">IF(COUNT(INDEX($C$120:$Q$120,1,3*(E$6-1)+1):INDEX($C$120:$Q$120,1,3*(E$6-1)+3))=3,SUMIF($C$6:$Q$6,E$6,$C$120:$Q$120),"SLO 不可達")</f>
        <v>1206943464.47655</v>
      </c>
      <c r="F132" s="70" t="n">
        <f aca="false">IF(COUNT(INDEX($C$120:$Q$120,1,3*(F$6-1)+1):INDEX($C$120:$Q$120,1,3*(F$6-1)+3))=3,SUMIF($C$6:$Q$6,F$6,$C$120:$Q$120),"SLO 不可達")</f>
        <v>375288661.547041</v>
      </c>
      <c r="G132" s="70" t="n">
        <f aca="false">IF(COUNT(INDEX($C$120:$Q$120,1,3*(G$6-1)+1):INDEX($C$120:$Q$120,1,3*(G$6-1)+3))=3,SUMIF($C$6:$Q$6,G$6,$C$120:$Q$120),"SLO 不可達")</f>
        <v>375288661.547041</v>
      </c>
      <c r="H132" s="70" t="n">
        <f aca="false">IF(COUNT(INDEX($C$120:$Q$120,1,3*(H$6-1)+1):INDEX($C$120:$Q$120,1,3*(H$6-1)+3))=3,SUMIF($C$6:$Q$6,H$6,$C$120:$Q$120),"SLO 不可達")</f>
        <v>375288661.547041</v>
      </c>
      <c r="I132" s="70" t="n">
        <f aca="false">IF(COUNT(INDEX($C$120:$Q$120,1,3*(I$6-1)+1):INDEX($C$120:$Q$120,1,3*(I$6-1)+3))=3,SUMIF($C$6:$Q$6,I$6,$C$120:$Q$120),"SLO 不可達")</f>
        <v>337637705.513392</v>
      </c>
      <c r="J132" s="70" t="n">
        <f aca="false">IF(COUNT(INDEX($C$120:$Q$120,1,3*(J$6-1)+1):INDEX($C$120:$Q$120,1,3*(J$6-1)+3))=3,SUMIF($C$6:$Q$6,J$6,$C$120:$Q$120),"SLO 不可達")</f>
        <v>337637705.513392</v>
      </c>
      <c r="K132" s="70" t="n">
        <f aca="false">IF(COUNT(INDEX($C$120:$Q$120,1,3*(K$6-1)+1):INDEX($C$120:$Q$120,1,3*(K$6-1)+3))=3,SUMIF($C$6:$Q$6,K$6,$C$120:$Q$120),"SLO 不可達")</f>
        <v>337637705.513392</v>
      </c>
      <c r="L132" s="70" t="n">
        <f aca="false">IF(COUNT(INDEX($C$120:$Q$120,1,3*(L$6-1)+1):INDEX($C$120:$Q$120,1,3*(L$6-1)+3))=3,SUMIF($C$6:$Q$6,L$6,$C$120:$Q$120),"SLO 不可達")</f>
        <v>124316594.992372</v>
      </c>
      <c r="M132" s="70" t="n">
        <f aca="false">IF(COUNT(INDEX($C$120:$Q$120,1,3*(M$6-1)+1):INDEX($C$120:$Q$120,1,3*(M$6-1)+3))=3,SUMIF($C$6:$Q$6,M$6,$C$120:$Q$120),"SLO 不可達")</f>
        <v>124316594.992372</v>
      </c>
      <c r="N132" s="70" t="n">
        <f aca="false">IF(COUNT(INDEX($C$120:$Q$120,1,3*(N$6-1)+1):INDEX($C$120:$Q$120,1,3*(N$6-1)+3))=3,SUMIF($C$6:$Q$6,N$6,$C$120:$Q$120),"SLO 不可達")</f>
        <v>124316594.992372</v>
      </c>
      <c r="O132" s="70" t="n">
        <f aca="false">IF(COUNT(INDEX($C$120:$Q$120,1,3*(O$6-1)+1):INDEX($C$120:$Q$120,1,3*(O$6-1)+3))=3,SUMIF($C$6:$Q$6,O$6,$C$120:$Q$120),"SLO 不可達")</f>
        <v>56284754.6010618</v>
      </c>
      <c r="P132" s="70" t="n">
        <f aca="false">IF(COUNT(INDEX($C$120:$Q$120,1,3*(P$6-1)+1):INDEX($C$120:$Q$120,1,3*(P$6-1)+3))=3,SUMIF($C$6:$Q$6,P$6,$C$120:$Q$120),"SLO 不可達")</f>
        <v>56284754.6010618</v>
      </c>
      <c r="Q132" s="70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0" t="s">
        <v>1113</v>
      </c>
      <c r="B133" s="61" t="s">
        <v>877</v>
      </c>
      <c r="C133" s="70" t="n">
        <f aca="false">IF(COUNT(INDEX($C$122:$Q$122,1,3*(C$6-1)+1):INDEX($C$122:$Q$122,1,3*(C$6-1)+3))=3,SUMIF($C$6:$Q$6,C$6,$C$122:$Q$122),"SLO 不可達")</f>
        <v>1861.82682175876</v>
      </c>
      <c r="D133" s="70" t="n">
        <f aca="false">IF(COUNT(INDEX($C$122:$Q$122,1,3*(D$6-1)+1):INDEX($C$122:$Q$122,1,3*(D$6-1)+3))=3,SUMIF($C$6:$Q$6,D$6,$C$122:$Q$122),"SLO 不可達")</f>
        <v>1861.82682175876</v>
      </c>
      <c r="E133" s="70" t="n">
        <f aca="false">IF(COUNT(INDEX($C$122:$Q$122,1,3*(E$6-1)+1):INDEX($C$122:$Q$122,1,3*(E$6-1)+3))=3,SUMIF($C$6:$Q$6,E$6,$C$122:$Q$122),"SLO 不可達")</f>
        <v>1861.82682175876</v>
      </c>
      <c r="F133" s="70" t="n">
        <f aca="false">IF(COUNT(INDEX($C$122:$Q$122,1,3*(F$6-1)+1):INDEX($C$122:$Q$122,1,3*(F$6-1)+3))=3,SUMIF($C$6:$Q$6,F$6,$C$122:$Q$122),"SLO 不可達")</f>
        <v>753.75263915372</v>
      </c>
      <c r="G133" s="70" t="n">
        <f aca="false">IF(COUNT(INDEX($C$122:$Q$122,1,3*(G$6-1)+1):INDEX($C$122:$Q$122,1,3*(G$6-1)+3))=3,SUMIF($C$6:$Q$6,G$6,$C$122:$Q$122),"SLO 不可達")</f>
        <v>753.75263915372</v>
      </c>
      <c r="H133" s="70" t="n">
        <f aca="false">IF(COUNT(INDEX($C$122:$Q$122,1,3*(H$6-1)+1):INDEX($C$122:$Q$122,1,3*(H$6-1)+3))=3,SUMIF($C$6:$Q$6,H$6,$C$122:$Q$122),"SLO 不可達")</f>
        <v>753.75263915372</v>
      </c>
      <c r="I133" s="70" t="n">
        <f aca="false">IF(COUNT(INDEX($C$122:$Q$122,1,3*(I$6-1)+1):INDEX($C$122:$Q$122,1,3*(I$6-1)+3))=3,SUMIF($C$6:$Q$6,I$6,$C$122:$Q$122),"SLO 不可達")</f>
        <v>861.579714710739</v>
      </c>
      <c r="J133" s="70" t="n">
        <f aca="false">IF(COUNT(INDEX($C$122:$Q$122,1,3*(J$6-1)+1):INDEX($C$122:$Q$122,1,3*(J$6-1)+3))=3,SUMIF($C$6:$Q$6,J$6,$C$122:$Q$122),"SLO 不可達")</f>
        <v>861.579714710739</v>
      </c>
      <c r="K133" s="70" t="n">
        <f aca="false">IF(COUNT(INDEX($C$122:$Q$122,1,3*(K$6-1)+1):INDEX($C$122:$Q$122,1,3*(K$6-1)+3))=3,SUMIF($C$6:$Q$6,K$6,$C$122:$Q$122),"SLO 不可達")</f>
        <v>861.579714710739</v>
      </c>
      <c r="L133" s="70" t="n">
        <f aca="false">IF(COUNT(INDEX($C$122:$Q$122,1,3*(L$6-1)+1):INDEX($C$122:$Q$122,1,3*(L$6-1)+3))=3,SUMIF($C$6:$Q$6,L$6,$C$122:$Q$122),"SLO 不可達")</f>
        <v>594.687304305456</v>
      </c>
      <c r="M133" s="70" t="n">
        <f aca="false">IF(COUNT(INDEX($C$122:$Q$122,1,3*(M$6-1)+1):INDEX($C$122:$Q$122,1,3*(M$6-1)+3))=3,SUMIF($C$6:$Q$6,M$6,$C$122:$Q$122),"SLO 不可達")</f>
        <v>594.687304305456</v>
      </c>
      <c r="N133" s="70" t="n">
        <f aca="false">IF(COUNT(INDEX($C$122:$Q$122,1,3*(N$6-1)+1):INDEX($C$122:$Q$122,1,3*(N$6-1)+3))=3,SUMIF($C$6:$Q$6,N$6,$C$122:$Q$122),"SLO 不可達")</f>
        <v>594.687304305456</v>
      </c>
      <c r="O133" s="70" t="n">
        <f aca="false">IF(COUNT(INDEX($C$122:$Q$122,1,3*(O$6-1)+1):INDEX($C$122:$Q$122,1,3*(O$6-1)+3))=3,SUMIF($C$6:$Q$6,O$6,$C$122:$Q$122),"SLO 不可達")</f>
        <v>506.549737229307</v>
      </c>
      <c r="P133" s="70" t="n">
        <f aca="false">IF(COUNT(INDEX($C$122:$Q$122,1,3*(P$6-1)+1):INDEX($C$122:$Q$122,1,3*(P$6-1)+3))=3,SUMIF($C$6:$Q$6,P$6,$C$122:$Q$122),"SLO 不可達")</f>
        <v>506.549737229307</v>
      </c>
      <c r="Q133" s="70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0" t="s">
        <v>1114</v>
      </c>
      <c r="B134" s="61" t="s">
        <v>99</v>
      </c>
      <c r="C134" s="100" t="n">
        <f aca="false">IF(COUNT(INDEX($C$123:$Q$123,1,3*(C$6-1)+1):INDEX($C$123:$Q$123,1,3*(C$6-1)+3))=3,SUMIF($C$6:$Q$6,C$6,$C$123:$Q$123),"SLO 不可達")</f>
        <v>0.191879838535831</v>
      </c>
      <c r="D134" s="100" t="n">
        <f aca="false">IF(COUNT(INDEX($C$123:$Q$123,1,3*(D$6-1)+1):INDEX($C$123:$Q$123,1,3*(D$6-1)+3))=3,SUMIF($C$6:$Q$6,D$6,$C$123:$Q$123),"SLO 不可達")</f>
        <v>0.191879838535831</v>
      </c>
      <c r="E134" s="100" t="n">
        <f aca="false">IF(COUNT(INDEX($C$123:$Q$123,1,3*(E$6-1)+1):INDEX($C$123:$Q$123,1,3*(E$6-1)+3))=3,SUMIF($C$6:$Q$6,E$6,$C$123:$Q$123),"SLO 不可達")</f>
        <v>0.191879838535831</v>
      </c>
      <c r="F134" s="100" t="n">
        <f aca="false">IF(COUNT(INDEX($C$123:$Q$123,1,3*(F$6-1)+1):INDEX($C$123:$Q$123,1,3*(F$6-1)+3))=3,SUMIF($C$6:$Q$6,F$6,$C$123:$Q$123),"SLO 不可達")</f>
        <v>0.0853804375916351</v>
      </c>
      <c r="G134" s="100" t="n">
        <f aca="false">IF(COUNT(INDEX($C$123:$Q$123,1,3*(G$6-1)+1):INDEX($C$123:$Q$123,1,3*(G$6-1)+3))=3,SUMIF($C$6:$Q$6,G$6,$C$123:$Q$123),"SLO 不可達")</f>
        <v>0.0853804375916351</v>
      </c>
      <c r="H134" s="100" t="n">
        <f aca="false">IF(COUNT(INDEX($C$123:$Q$123,1,3*(H$6-1)+1):INDEX($C$123:$Q$123,1,3*(H$6-1)+3))=3,SUMIF($C$6:$Q$6,H$6,$C$123:$Q$123),"SLO 不可達")</f>
        <v>0.0853804375916351</v>
      </c>
      <c r="I134" s="100" t="n">
        <f aca="false">IF(COUNT(INDEX($C$123:$Q$123,1,3*(I$6-1)+1):INDEX($C$123:$Q$123,1,3*(I$6-1)+3))=3,SUMIF($C$6:$Q$6,I$6,$C$123:$Q$123),"SLO 不可達")</f>
        <v>0.0791426774667742</v>
      </c>
      <c r="J134" s="100" t="n">
        <f aca="false">IF(COUNT(INDEX($C$123:$Q$123,1,3*(J$6-1)+1):INDEX($C$123:$Q$123,1,3*(J$6-1)+3))=3,SUMIF($C$6:$Q$6,J$6,$C$123:$Q$123),"SLO 不可達")</f>
        <v>0.0791426774667742</v>
      </c>
      <c r="K134" s="100" t="n">
        <f aca="false">IF(COUNT(INDEX($C$123:$Q$123,1,3*(K$6-1)+1):INDEX($C$123:$Q$123,1,3*(K$6-1)+3))=3,SUMIF($C$6:$Q$6,K$6,$C$123:$Q$123),"SLO 不可達")</f>
        <v>0.0791426774667742</v>
      </c>
      <c r="L134" s="100" t="n">
        <f aca="false">IF(COUNT(INDEX($C$123:$Q$123,1,3*(L$6-1)+1):INDEX($C$123:$Q$123,1,3*(L$6-1)+3))=3,SUMIF($C$6:$Q$6,L$6,$C$123:$Q$123),"SLO 不可達")</f>
        <v>0.0486433041379322</v>
      </c>
      <c r="M134" s="100" t="n">
        <f aca="false">IF(COUNT(INDEX($C$123:$Q$123,1,3*(M$6-1)+1):INDEX($C$123:$Q$123,1,3*(M$6-1)+3))=3,SUMIF($C$6:$Q$6,M$6,$C$123:$Q$123),"SLO 不可達")</f>
        <v>0.0486433041379322</v>
      </c>
      <c r="N134" s="100" t="n">
        <f aca="false">IF(COUNT(INDEX($C$123:$Q$123,1,3*(N$6-1)+1):INDEX($C$123:$Q$123,1,3*(N$6-1)+3))=3,SUMIF($C$6:$Q$6,N$6,$C$123:$Q$123),"SLO 不可達")</f>
        <v>0.0486433041379322</v>
      </c>
      <c r="O134" s="100" t="n">
        <f aca="false">IF(COUNT(INDEX($C$123:$Q$123,1,3*(O$6-1)+1):INDEX($C$123:$Q$123,1,3*(O$6-1)+3))=3,SUMIF($C$6:$Q$6,O$6,$C$123:$Q$123),"SLO 不可達")</f>
        <v>0.0329903486184271</v>
      </c>
      <c r="P134" s="100" t="n">
        <f aca="false">IF(COUNT(INDEX($C$123:$Q$123,1,3*(P$6-1)+1):INDEX($C$123:$Q$123,1,3*(P$6-1)+3))=3,SUMIF($C$6:$Q$6,P$6,$C$123:$Q$123),"SLO 不可達")</f>
        <v>0.0329903486184271</v>
      </c>
      <c r="Q134" s="100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7" t="s">
        <v>1115</v>
      </c>
    </row>
    <row r="2" customFormat="false" ht="15" hidden="false" customHeight="false" outlineLevel="0" collapsed="false">
      <c r="A2" s="73" t="s">
        <v>1116</v>
      </c>
    </row>
    <row r="3" customFormat="false" ht="43.5" hidden="false" customHeight="true" outlineLevel="0" collapsed="false">
      <c r="A3" s="59" t="s">
        <v>829</v>
      </c>
      <c r="C3" s="120" t="s">
        <v>85</v>
      </c>
      <c r="D3" s="120"/>
      <c r="E3" s="120" t="s">
        <v>1117</v>
      </c>
      <c r="F3" s="120"/>
      <c r="G3" s="120" t="s">
        <v>1118</v>
      </c>
      <c r="H3" s="120"/>
      <c r="I3" s="121" t="s">
        <v>1119</v>
      </c>
      <c r="J3" s="121"/>
      <c r="K3" s="120" t="s">
        <v>1120</v>
      </c>
      <c r="L3" s="120"/>
      <c r="M3" s="120" t="s">
        <v>1121</v>
      </c>
      <c r="N3" s="120"/>
      <c r="O3" s="121" t="s">
        <v>1122</v>
      </c>
      <c r="P3" s="121"/>
      <c r="Q3" s="121" t="s">
        <v>1123</v>
      </c>
      <c r="R3" s="121"/>
      <c r="S3" s="121" t="s">
        <v>1124</v>
      </c>
      <c r="T3" s="121"/>
      <c r="U3" s="121" t="s">
        <v>1125</v>
      </c>
      <c r="V3" s="121"/>
      <c r="W3" s="121" t="s">
        <v>1126</v>
      </c>
      <c r="X3" s="121"/>
      <c r="Y3" s="120" t="s">
        <v>1127</v>
      </c>
      <c r="Z3" s="120"/>
      <c r="AA3" s="120" t="s">
        <v>1128</v>
      </c>
      <c r="AB3" s="120"/>
      <c r="AC3" s="120" t="s">
        <v>1129</v>
      </c>
      <c r="AD3" s="120"/>
      <c r="AE3" s="120" t="s">
        <v>1130</v>
      </c>
      <c r="AF3" s="120"/>
      <c r="AG3" s="121" t="s">
        <v>1131</v>
      </c>
      <c r="AH3" s="121"/>
    </row>
    <row r="4" customFormat="false" ht="15" hidden="false" customHeight="false" outlineLevel="0" collapsed="false">
      <c r="A4" s="59" t="s">
        <v>171</v>
      </c>
      <c r="C4" s="81" t="str">
        <f aca="false">INDEX(Spec_Rack!$C$4:$G$4,C6)</f>
        <v>VR200 NVL72</v>
      </c>
      <c r="D4" s="81" t="str">
        <f aca="false">INDEX(Spec_Rack!$C$4:$G$4,D6)</f>
        <v>VR200 NVL72</v>
      </c>
      <c r="E4" s="81" t="str">
        <f aca="false">INDEX(Spec_Rack!$C$4:$G$4,E6)</f>
        <v>VR200 NVL72</v>
      </c>
      <c r="F4" s="81" t="str">
        <f aca="false">INDEX(Spec_Rack!$C$4:$G$4,F6)</f>
        <v>VR200 NVL72</v>
      </c>
      <c r="G4" s="81" t="str">
        <f aca="false">INDEX(Spec_Rack!$C$4:$G$4,G6)</f>
        <v>VR200 NVL72</v>
      </c>
      <c r="H4" s="81" t="str">
        <f aca="false">INDEX(Spec_Rack!$C$4:$G$4,H6)</f>
        <v>VR200 NVL72</v>
      </c>
      <c r="I4" s="81" t="str">
        <f aca="false">INDEX(Spec_Rack!$C$4:$G$4,I6)</f>
        <v>VR200 NVL72</v>
      </c>
      <c r="J4" s="81" t="str">
        <f aca="false">INDEX(Spec_Rack!$C$4:$G$4,J6)</f>
        <v>VR200 NVL72</v>
      </c>
      <c r="K4" s="81" t="str">
        <f aca="false">INDEX(Spec_Rack!$C$4:$G$4,K6)</f>
        <v>VR200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VR200 NVL72</v>
      </c>
      <c r="P4" s="81" t="str">
        <f aca="false">INDEX(Spec_Rack!$C$4:$G$4,P6)</f>
        <v>VR200 NVL72</v>
      </c>
      <c r="Q4" s="81" t="str">
        <f aca="false">INDEX(Spec_Rack!$C$4:$G$4,Q6)</f>
        <v>VR200 NVL72</v>
      </c>
      <c r="R4" s="81" t="str">
        <f aca="false">INDEX(Spec_Rack!$C$4:$G$4,R6)</f>
        <v>VR200 NVL72</v>
      </c>
      <c r="S4" s="81" t="str">
        <f aca="false">INDEX(Spec_Rack!$C$4:$G$4,S6)</f>
        <v>VR200 NVL72</v>
      </c>
      <c r="T4" s="81" t="str">
        <f aca="false">INDEX(Spec_Rack!$C$4:$G$4,T6)</f>
        <v>VR200 NVL72</v>
      </c>
      <c r="U4" s="81" t="str">
        <f aca="false">INDEX(Spec_Rack!$C$4:$G$4,U6)</f>
        <v>VR200 NVL72</v>
      </c>
      <c r="V4" s="81" t="str">
        <f aca="false">INDEX(Spec_Rack!$C$4:$G$4,V6)</f>
        <v>VR200 NVL72</v>
      </c>
      <c r="W4" s="81" t="str">
        <f aca="false">INDEX(Spec_Rack!$C$4:$G$4,W6)</f>
        <v>VR200 NVL72</v>
      </c>
      <c r="X4" s="81" t="str">
        <f aca="false">INDEX(Spec_Rack!$C$4:$G$4,X6)</f>
        <v>VR200 NVL72</v>
      </c>
      <c r="Y4" s="81" t="str">
        <f aca="false">INDEX(Spec_Rack!$C$4:$G$4,Y6)</f>
        <v>VR200 NVL72</v>
      </c>
      <c r="Z4" s="81" t="str">
        <f aca="false">INDEX(Spec_Rack!$C$4:$G$4,Z6)</f>
        <v>VR200 NVL72</v>
      </c>
      <c r="AA4" s="81" t="str">
        <f aca="false">INDEX(Spec_Rack!$C$4:$G$4,AA6)</f>
        <v>VR200 NVL72</v>
      </c>
      <c r="AB4" s="81" t="str">
        <f aca="false">INDEX(Spec_Rack!$C$4:$G$4,AB6)</f>
        <v>VR200 NVL72</v>
      </c>
      <c r="AC4" s="81" t="str">
        <f aca="false">INDEX(Spec_Rack!$C$4:$G$4,AC6)</f>
        <v>VR200 NVL72</v>
      </c>
      <c r="AD4" s="81" t="str">
        <f aca="false">INDEX(Spec_Rack!$C$4:$G$4,AD6)</f>
        <v>VR200 NVL72</v>
      </c>
      <c r="AE4" s="81" t="str">
        <f aca="false">INDEX(Spec_Rack!$C$4:$G$4,AE6)</f>
        <v>VR200 NVL72</v>
      </c>
      <c r="AF4" s="81" t="str">
        <f aca="false">INDEX(Spec_Rack!$C$4:$G$4,AF6)</f>
        <v>VR200 NVL72</v>
      </c>
      <c r="AG4" s="81" t="str">
        <f aca="false">INDEX(Spec_Rack!$C$4:$G$4,AG6)</f>
        <v>VR200 NVL72</v>
      </c>
      <c r="AH4" s="81" t="str">
        <f aca="false">INDEX(Spec_Rack!$C$4:$G$4,AH6)</f>
        <v>VR200 NVL72</v>
      </c>
    </row>
    <row r="5" customFormat="false" ht="15" hidden="false" customHeight="false" outlineLevel="0" collapsed="false">
      <c r="A5" s="59" t="s">
        <v>722</v>
      </c>
      <c r="C5" s="81" t="str">
        <f aca="false">INDEX(Arch!$C$4:$E$4,C7)</f>
        <v>Sol（中層）</v>
      </c>
      <c r="D5" s="81" t="str">
        <f aca="false">INDEX(Arch!$C$4:$E$4,D7)</f>
        <v>Astra（頂層）</v>
      </c>
      <c r="E5" s="81" t="str">
        <f aca="false">INDEX(Arch!$C$4:$E$4,E7)</f>
        <v>Sol（中層）</v>
      </c>
      <c r="F5" s="81" t="str">
        <f aca="false">INDEX(Arch!$C$4:$E$4,F7)</f>
        <v>Astra（頂層）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Sol（中層）</v>
      </c>
      <c r="J5" s="81" t="str">
        <f aca="false">INDEX(Arch!$C$4:$E$4,J7)</f>
        <v>Astra（頂層）</v>
      </c>
      <c r="K5" s="81" t="str">
        <f aca="false">INDEX(Arch!$C$4:$E$4,K7)</f>
        <v>Sol（中層）</v>
      </c>
      <c r="L5" s="81" t="str">
        <f aca="false">INDEX(Arch!$C$4:$E$4,L7)</f>
        <v>Astra（頂層）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Sol（中層）</v>
      </c>
      <c r="P5" s="81" t="str">
        <f aca="false">INDEX(Arch!$C$4:$E$4,P7)</f>
        <v>Astra（頂層）</v>
      </c>
      <c r="Q5" s="81" t="str">
        <f aca="false">INDEX(Arch!$C$4:$E$4,Q7)</f>
        <v>Sol（中層）</v>
      </c>
      <c r="R5" s="81" t="str">
        <f aca="false">INDEX(Arch!$C$4:$E$4,R7)</f>
        <v>Astra（頂層）</v>
      </c>
      <c r="S5" s="81" t="str">
        <f aca="false">INDEX(Arch!$C$4:$E$4,S7)</f>
        <v>Sol（中層）</v>
      </c>
      <c r="T5" s="81" t="str">
        <f aca="false">INDEX(Arch!$C$4:$E$4,T7)</f>
        <v>Astra（頂層）</v>
      </c>
      <c r="U5" s="81" t="str">
        <f aca="false">INDEX(Arch!$C$4:$E$4,U7)</f>
        <v>Sol（中層）</v>
      </c>
      <c r="V5" s="81" t="str">
        <f aca="false">INDEX(Arch!$C$4:$E$4,V7)</f>
        <v>Astra（頂層）</v>
      </c>
      <c r="W5" s="81" t="str">
        <f aca="false">INDEX(Arch!$C$4:$E$4,W7)</f>
        <v>Sol（中層）</v>
      </c>
      <c r="X5" s="81" t="str">
        <f aca="false">INDEX(Arch!$C$4:$E$4,X7)</f>
        <v>Astra（頂層）</v>
      </c>
      <c r="Y5" s="81" t="str">
        <f aca="false">INDEX(Arch!$C$4:$E$4,Y7)</f>
        <v>Sol（中層）</v>
      </c>
      <c r="Z5" s="81" t="str">
        <f aca="false">INDEX(Arch!$C$4:$E$4,Z7)</f>
        <v>Astra（頂層）</v>
      </c>
      <c r="AA5" s="81" t="str">
        <f aca="false">INDEX(Arch!$C$4:$E$4,AA7)</f>
        <v>Sol（中層）</v>
      </c>
      <c r="AB5" s="81" t="str">
        <f aca="false">INDEX(Arch!$C$4:$E$4,AB7)</f>
        <v>Astra（頂層）</v>
      </c>
      <c r="AC5" s="81" t="str">
        <f aca="false">INDEX(Arch!$C$4:$E$4,AC7)</f>
        <v>Sol（中層）</v>
      </c>
      <c r="AD5" s="81" t="str">
        <f aca="false">INDEX(Arch!$C$4:$E$4,AD7)</f>
        <v>Astra（頂層）</v>
      </c>
      <c r="AE5" s="81" t="str">
        <f aca="false">INDEX(Arch!$C$4:$E$4,AE7)</f>
        <v>Sol（中層）</v>
      </c>
      <c r="AF5" s="81" t="str">
        <f aca="false">INDEX(Arch!$C$4:$E$4,AF7)</f>
        <v>Astra（頂層）</v>
      </c>
      <c r="AG5" s="81" t="str">
        <f aca="false">INDEX(Arch!$C$4:$E$4,AG7)</f>
        <v>Sol（中層）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59" t="s">
        <v>452</v>
      </c>
      <c r="C6" s="66" t="n">
        <v>4</v>
      </c>
      <c r="D6" s="66" t="n">
        <v>4</v>
      </c>
      <c r="E6" s="66" t="n">
        <v>4</v>
      </c>
      <c r="F6" s="66" t="n">
        <v>4</v>
      </c>
      <c r="G6" s="66" t="n">
        <v>4</v>
      </c>
      <c r="H6" s="66" t="n">
        <v>4</v>
      </c>
      <c r="I6" s="66" t="n">
        <v>4</v>
      </c>
      <c r="J6" s="66" t="n">
        <v>4</v>
      </c>
      <c r="K6" s="66" t="n">
        <v>4</v>
      </c>
      <c r="L6" s="66" t="n">
        <v>4</v>
      </c>
      <c r="M6" s="66" t="n">
        <v>4</v>
      </c>
      <c r="N6" s="66" t="n">
        <v>4</v>
      </c>
      <c r="O6" s="66" t="n">
        <v>4</v>
      </c>
      <c r="P6" s="66" t="n">
        <v>4</v>
      </c>
      <c r="Q6" s="66" t="n">
        <v>4</v>
      </c>
      <c r="R6" s="66" t="n">
        <v>4</v>
      </c>
      <c r="S6" s="66" t="n">
        <v>4</v>
      </c>
      <c r="T6" s="66" t="n">
        <v>4</v>
      </c>
      <c r="U6" s="66" t="n">
        <v>4</v>
      </c>
      <c r="V6" s="66" t="n">
        <v>4</v>
      </c>
      <c r="W6" s="66" t="n">
        <v>4</v>
      </c>
      <c r="X6" s="66" t="n">
        <v>4</v>
      </c>
      <c r="Y6" s="66" t="n">
        <v>4</v>
      </c>
      <c r="Z6" s="66" t="n">
        <v>4</v>
      </c>
      <c r="AA6" s="66" t="n">
        <v>4</v>
      </c>
      <c r="AB6" s="66" t="n">
        <v>4</v>
      </c>
      <c r="AC6" s="66" t="n">
        <v>4</v>
      </c>
      <c r="AD6" s="66" t="n">
        <v>4</v>
      </c>
      <c r="AE6" s="66" t="n">
        <v>4</v>
      </c>
      <c r="AF6" s="66" t="n">
        <v>4</v>
      </c>
      <c r="AG6" s="66" t="n">
        <v>4</v>
      </c>
      <c r="AH6" s="66" t="n">
        <v>4</v>
      </c>
    </row>
    <row r="7" customFormat="false" ht="15" hidden="false" customHeight="false" outlineLevel="0" collapsed="false">
      <c r="A7" s="59" t="s">
        <v>723</v>
      </c>
      <c r="C7" s="66" t="n">
        <v>2</v>
      </c>
      <c r="D7" s="66" t="n">
        <v>3</v>
      </c>
      <c r="E7" s="66" t="n">
        <v>2</v>
      </c>
      <c r="F7" s="66" t="n">
        <v>3</v>
      </c>
      <c r="G7" s="66" t="n">
        <v>2</v>
      </c>
      <c r="H7" s="66" t="n">
        <v>3</v>
      </c>
      <c r="I7" s="66" t="n">
        <v>2</v>
      </c>
      <c r="J7" s="66" t="n">
        <v>3</v>
      </c>
      <c r="K7" s="66" t="n">
        <v>2</v>
      </c>
      <c r="L7" s="66" t="n">
        <v>3</v>
      </c>
      <c r="M7" s="66" t="n">
        <v>2</v>
      </c>
      <c r="N7" s="66" t="n">
        <v>3</v>
      </c>
      <c r="O7" s="66" t="n">
        <v>2</v>
      </c>
      <c r="P7" s="66" t="n">
        <v>3</v>
      </c>
      <c r="Q7" s="66" t="n">
        <v>2</v>
      </c>
      <c r="R7" s="66" t="n">
        <v>3</v>
      </c>
      <c r="S7" s="66" t="n">
        <v>2</v>
      </c>
      <c r="T7" s="66" t="n">
        <v>3</v>
      </c>
      <c r="U7" s="66" t="n">
        <v>2</v>
      </c>
      <c r="V7" s="66" t="n">
        <v>3</v>
      </c>
      <c r="W7" s="66" t="n">
        <v>2</v>
      </c>
      <c r="X7" s="66" t="n">
        <v>3</v>
      </c>
      <c r="Y7" s="66" t="n">
        <v>2</v>
      </c>
      <c r="Z7" s="66" t="n">
        <v>3</v>
      </c>
      <c r="AA7" s="66" t="n">
        <v>2</v>
      </c>
      <c r="AB7" s="66" t="n">
        <v>3</v>
      </c>
      <c r="AC7" s="66" t="n">
        <v>2</v>
      </c>
      <c r="AD7" s="66" t="n">
        <v>3</v>
      </c>
      <c r="AE7" s="66" t="n">
        <v>2</v>
      </c>
      <c r="AF7" s="66" t="n">
        <v>3</v>
      </c>
      <c r="AG7" s="66" t="n">
        <v>2</v>
      </c>
      <c r="AH7" s="66" t="n">
        <v>3</v>
      </c>
    </row>
    <row r="8" customFormat="false" ht="15" hidden="false" customHeight="false" outlineLevel="0" collapsed="false">
      <c r="A8" s="59" t="s">
        <v>1132</v>
      </c>
      <c r="B8" s="61" t="s">
        <v>103</v>
      </c>
      <c r="C8" s="58" t="s">
        <v>620</v>
      </c>
      <c r="D8" s="58" t="s">
        <v>620</v>
      </c>
      <c r="E8" s="58" t="s">
        <v>620</v>
      </c>
      <c r="F8" s="58" t="s">
        <v>620</v>
      </c>
      <c r="G8" s="58" t="s">
        <v>620</v>
      </c>
      <c r="H8" s="58" t="s">
        <v>620</v>
      </c>
      <c r="I8" s="58" t="s">
        <v>620</v>
      </c>
      <c r="J8" s="58" t="s">
        <v>620</v>
      </c>
      <c r="K8" s="58" t="s">
        <v>620</v>
      </c>
      <c r="L8" s="58" t="s">
        <v>620</v>
      </c>
      <c r="M8" s="58" t="s">
        <v>620</v>
      </c>
      <c r="N8" s="58" t="s">
        <v>620</v>
      </c>
      <c r="O8" s="80" t="n">
        <v>0.3</v>
      </c>
      <c r="P8" s="80" t="n">
        <v>0.3</v>
      </c>
      <c r="Q8" s="80" t="n">
        <v>3</v>
      </c>
      <c r="R8" s="80" t="n">
        <v>3</v>
      </c>
      <c r="S8" s="58" t="s">
        <v>620</v>
      </c>
      <c r="T8" s="58" t="s">
        <v>620</v>
      </c>
      <c r="U8" s="58" t="s">
        <v>620</v>
      </c>
      <c r="V8" s="58" t="s">
        <v>620</v>
      </c>
      <c r="W8" s="58" t="s">
        <v>620</v>
      </c>
      <c r="X8" s="58" t="s">
        <v>620</v>
      </c>
      <c r="Y8" s="80" t="n">
        <v>0</v>
      </c>
      <c r="Z8" s="80" t="n">
        <v>0</v>
      </c>
      <c r="AA8" s="80" t="n">
        <v>3</v>
      </c>
      <c r="AB8" s="80" t="n">
        <v>3</v>
      </c>
      <c r="AC8" s="58" t="s">
        <v>620</v>
      </c>
      <c r="AD8" s="58" t="s">
        <v>620</v>
      </c>
      <c r="AE8" s="58" t="s">
        <v>620</v>
      </c>
      <c r="AF8" s="58" t="s">
        <v>620</v>
      </c>
      <c r="AG8" s="58" t="s">
        <v>620</v>
      </c>
      <c r="AH8" s="58" t="s">
        <v>620</v>
      </c>
    </row>
    <row r="9" customFormat="false" ht="15" hidden="false" customHeight="false" outlineLevel="0" collapsed="false">
      <c r="A9" s="75" t="s">
        <v>1003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</row>
    <row r="10" customFormat="false" ht="15" hidden="false" customHeight="false" outlineLevel="0" collapsed="false">
      <c r="A10" s="61" t="s">
        <v>1004</v>
      </c>
      <c r="B10" s="61" t="s">
        <v>476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0" t="s">
        <v>1005</v>
      </c>
      <c r="B11" s="61" t="s">
        <v>103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0" t="s">
        <v>1006</v>
      </c>
      <c r="B12" s="61" t="s">
        <v>476</v>
      </c>
      <c r="C12" s="115" t="n">
        <f aca="false">C10*C11</f>
        <v>17.5</v>
      </c>
      <c r="D12" s="115" t="n">
        <f aca="false">D10*D11</f>
        <v>17.5</v>
      </c>
      <c r="E12" s="115" t="n">
        <f aca="false">E10*E11</f>
        <v>17.5</v>
      </c>
      <c r="F12" s="115" t="n">
        <f aca="false">F10*F11</f>
        <v>17.5</v>
      </c>
      <c r="G12" s="115" t="n">
        <f aca="false">G10*G11</f>
        <v>17.5</v>
      </c>
      <c r="H12" s="115" t="n">
        <f aca="false">H10*H11</f>
        <v>17.5</v>
      </c>
      <c r="I12" s="115" t="n">
        <f aca="false">I10*I11</f>
        <v>35</v>
      </c>
      <c r="J12" s="115" t="n">
        <f aca="false">J10*J11</f>
        <v>35</v>
      </c>
      <c r="K12" s="115" t="n">
        <f aca="false">K10*K11</f>
        <v>17.5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17.5</v>
      </c>
      <c r="P12" s="115" t="n">
        <f aca="false">P10*P11</f>
        <v>17.5</v>
      </c>
      <c r="Q12" s="115" t="n">
        <f aca="false">Q10*Q11</f>
        <v>17.5</v>
      </c>
      <c r="R12" s="115" t="n">
        <f aca="false">R10*R11</f>
        <v>17.5</v>
      </c>
      <c r="S12" s="115" t="n">
        <f aca="false">S10*S11</f>
        <v>17.5</v>
      </c>
      <c r="T12" s="115" t="n">
        <f aca="false">T10*T11</f>
        <v>17.5</v>
      </c>
      <c r="U12" s="115" t="n">
        <f aca="false">U10*U11</f>
        <v>17.5</v>
      </c>
      <c r="V12" s="115" t="n">
        <f aca="false">V10*V11</f>
        <v>17.5</v>
      </c>
      <c r="W12" s="115" t="n">
        <f aca="false">W10*W11</f>
        <v>17.5</v>
      </c>
      <c r="X12" s="115" t="n">
        <f aca="false">X10*X11</f>
        <v>17.5</v>
      </c>
      <c r="Y12" s="115" t="n">
        <f aca="false">Y10*Y11</f>
        <v>17.5</v>
      </c>
      <c r="Z12" s="115" t="n">
        <f aca="false">Z10*Z11</f>
        <v>17.5</v>
      </c>
      <c r="AA12" s="115" t="n">
        <f aca="false">AA10*AA11</f>
        <v>17.5</v>
      </c>
      <c r="AB12" s="115" t="n">
        <f aca="false">AB10*AB11</f>
        <v>17.5</v>
      </c>
      <c r="AC12" s="115" t="n">
        <f aca="false">AC10*AC11</f>
        <v>17.5</v>
      </c>
      <c r="AD12" s="115" t="n">
        <f aca="false">AD10*AD11</f>
        <v>17.5</v>
      </c>
      <c r="AE12" s="115" t="n">
        <f aca="false">AE10*AE11</f>
        <v>17.5</v>
      </c>
      <c r="AF12" s="115" t="n">
        <f aca="false">AF10*AF11</f>
        <v>17.5</v>
      </c>
      <c r="AG12" s="115" t="n">
        <f aca="false">AG10*AG11</f>
        <v>17.5</v>
      </c>
      <c r="AH12" s="115" t="n">
        <f aca="false">AH10*AH11</f>
        <v>17.5</v>
      </c>
    </row>
    <row r="13" customFormat="false" ht="15" hidden="false" customHeight="false" outlineLevel="0" collapsed="false">
      <c r="A13" s="60" t="s">
        <v>1007</v>
      </c>
      <c r="B13" s="61" t="s">
        <v>99</v>
      </c>
      <c r="C13" s="64" t="n">
        <f aca="false">Train_In!$C$6</f>
        <v>0.25</v>
      </c>
      <c r="D13" s="64" t="n">
        <f aca="false">Train_In!$C$6</f>
        <v>0.25</v>
      </c>
      <c r="E13" s="79" t="n">
        <v>0.15</v>
      </c>
      <c r="F13" s="79" t="n">
        <v>0.15</v>
      </c>
      <c r="G13" s="79" t="n">
        <v>0.4</v>
      </c>
      <c r="H13" s="79" t="n">
        <v>0.4</v>
      </c>
      <c r="I13" s="64" t="n">
        <f aca="false">Train_In!$C$6</f>
        <v>0.25</v>
      </c>
      <c r="J13" s="64" t="n">
        <f aca="false">Train_In!$C$6</f>
        <v>0.25</v>
      </c>
      <c r="K13" s="64" t="n">
        <f aca="false">Train_In!$C$6</f>
        <v>0.25</v>
      </c>
      <c r="L13" s="64" t="n">
        <f aca="false">Train_In!$C$6</f>
        <v>0.25</v>
      </c>
      <c r="M13" s="64" t="n">
        <f aca="false">Train_In!$C$6</f>
        <v>0.25</v>
      </c>
      <c r="N13" s="64" t="n">
        <f aca="false">Train_In!$C$6</f>
        <v>0.25</v>
      </c>
      <c r="O13" s="64" t="n">
        <f aca="false">Train_In!$C$6</f>
        <v>0.25</v>
      </c>
      <c r="P13" s="64" t="n">
        <f aca="false">Train_In!$C$6</f>
        <v>0.25</v>
      </c>
      <c r="Q13" s="64" t="n">
        <f aca="false">Train_In!$C$6</f>
        <v>0.25</v>
      </c>
      <c r="R13" s="64" t="n">
        <f aca="false">Train_In!$C$6</f>
        <v>0.25</v>
      </c>
      <c r="S13" s="64" t="n">
        <f aca="false">Train_In!$C$6</f>
        <v>0.25</v>
      </c>
      <c r="T13" s="64" t="n">
        <f aca="false">Train_In!$C$6</f>
        <v>0.25</v>
      </c>
      <c r="U13" s="64" t="n">
        <f aca="false">Train_In!$C$6</f>
        <v>0.25</v>
      </c>
      <c r="V13" s="64" t="n">
        <f aca="false">Train_In!$C$6</f>
        <v>0.25</v>
      </c>
      <c r="W13" s="64" t="n">
        <f aca="false">Train_In!$C$6</f>
        <v>0.25</v>
      </c>
      <c r="X13" s="64" t="n">
        <f aca="false">Train_In!$C$6</f>
        <v>0.25</v>
      </c>
      <c r="Y13" s="64" t="n">
        <f aca="false">Train_In!$C$6</f>
        <v>0.25</v>
      </c>
      <c r="Z13" s="64" t="n">
        <f aca="false">Train_In!$C$6</f>
        <v>0.25</v>
      </c>
      <c r="AA13" s="64" t="n">
        <f aca="false">Train_In!$C$6</f>
        <v>0.25</v>
      </c>
      <c r="AB13" s="64" t="n">
        <f aca="false">Train_In!$C$6</f>
        <v>0.25</v>
      </c>
      <c r="AC13" s="64" t="n">
        <f aca="false">Train_In!$C$6</f>
        <v>0.25</v>
      </c>
      <c r="AD13" s="64" t="n">
        <f aca="false">Train_In!$C$6</f>
        <v>0.25</v>
      </c>
      <c r="AE13" s="64" t="n">
        <f aca="false">Train_In!$C$6</f>
        <v>0.25</v>
      </c>
      <c r="AF13" s="64" t="n">
        <f aca="false">Train_In!$C$6</f>
        <v>0.25</v>
      </c>
      <c r="AG13" s="64" t="n">
        <f aca="false">Train_In!$C$6</f>
        <v>0.25</v>
      </c>
      <c r="AH13" s="64" t="n">
        <f aca="false">Train_In!$C$6</f>
        <v>0.25</v>
      </c>
    </row>
    <row r="14" customFormat="false" ht="15" hidden="false" customHeight="false" outlineLevel="0" collapsed="false">
      <c r="A14" s="61" t="s">
        <v>1008</v>
      </c>
      <c r="B14" s="61" t="s">
        <v>103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0" t="s">
        <v>1009</v>
      </c>
      <c r="B15" s="61" t="s">
        <v>103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0" t="s">
        <v>1010</v>
      </c>
      <c r="B16" s="61" t="s">
        <v>99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0.135</v>
      </c>
      <c r="F16" s="103" t="n">
        <f aca="false">F13*F14*F15</f>
        <v>0.135</v>
      </c>
      <c r="G16" s="103" t="n">
        <f aca="false">G13*G14*G15</f>
        <v>0.36</v>
      </c>
      <c r="H16" s="103" t="n">
        <f aca="false">H13*H14*H15</f>
        <v>0.36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1" t="s">
        <v>1011</v>
      </c>
      <c r="B17" s="61" t="s">
        <v>99</v>
      </c>
      <c r="C17" s="64" t="n">
        <f aca="false">Train_In!$C$7</f>
        <v>0.9</v>
      </c>
      <c r="D17" s="64" t="n">
        <f aca="false">Train_In!$C$7</f>
        <v>0.9</v>
      </c>
      <c r="E17" s="64" t="n">
        <f aca="false">Train_In!$C$7</f>
        <v>0.9</v>
      </c>
      <c r="F17" s="64" t="n">
        <f aca="false">Train_In!$C$7</f>
        <v>0.9</v>
      </c>
      <c r="G17" s="64" t="n">
        <f aca="false">Train_In!$C$7</f>
        <v>0.9</v>
      </c>
      <c r="H17" s="64" t="n">
        <f aca="false">Train_In!$C$7</f>
        <v>0.9</v>
      </c>
      <c r="I17" s="64" t="n">
        <f aca="false">Train_In!$C$7</f>
        <v>0.9</v>
      </c>
      <c r="J17" s="64" t="n">
        <f aca="false">Train_In!$C$7</f>
        <v>0.9</v>
      </c>
      <c r="K17" s="64" t="n">
        <f aca="false">Train_In!$C$7</f>
        <v>0.9</v>
      </c>
      <c r="L17" s="64" t="n">
        <f aca="false">Train_In!$C$7</f>
        <v>0.9</v>
      </c>
      <c r="M17" s="64" t="n">
        <f aca="false">Train_In!$C$7</f>
        <v>0.9</v>
      </c>
      <c r="N17" s="64" t="n">
        <f aca="false">Train_In!$C$7</f>
        <v>0.9</v>
      </c>
      <c r="O17" s="64" t="n">
        <f aca="false">Train_In!$C$7</f>
        <v>0.9</v>
      </c>
      <c r="P17" s="64" t="n">
        <f aca="false">Train_In!$C$7</f>
        <v>0.9</v>
      </c>
      <c r="Q17" s="64" t="n">
        <f aca="false">Train_In!$C$7</f>
        <v>0.9</v>
      </c>
      <c r="R17" s="64" t="n">
        <f aca="false">Train_In!$C$7</f>
        <v>0.9</v>
      </c>
      <c r="S17" s="64" t="n">
        <f aca="false">Train_In!$C$7</f>
        <v>0.9</v>
      </c>
      <c r="T17" s="64" t="n">
        <f aca="false">Train_In!$C$7</f>
        <v>0.9</v>
      </c>
      <c r="U17" s="64" t="n">
        <f aca="false">Train_In!$C$7</f>
        <v>0.9</v>
      </c>
      <c r="V17" s="64" t="n">
        <f aca="false">Train_In!$C$7</f>
        <v>0.9</v>
      </c>
      <c r="W17" s="64" t="n">
        <f aca="false">Train_In!$C$7</f>
        <v>0.9</v>
      </c>
      <c r="X17" s="64" t="n">
        <f aca="false">Train_In!$C$7</f>
        <v>0.9</v>
      </c>
      <c r="Y17" s="64" t="n">
        <f aca="false">Train_In!$C$7</f>
        <v>0.9</v>
      </c>
      <c r="Z17" s="64" t="n">
        <f aca="false">Train_In!$C$7</f>
        <v>0.9</v>
      </c>
      <c r="AA17" s="64" t="n">
        <f aca="false">Train_In!$C$7</f>
        <v>0.9</v>
      </c>
      <c r="AB17" s="64" t="n">
        <f aca="false">Train_In!$C$7</f>
        <v>0.9</v>
      </c>
      <c r="AC17" s="64" t="n">
        <f aca="false">Train_In!$C$7</f>
        <v>0.9</v>
      </c>
      <c r="AD17" s="64" t="n">
        <f aca="false">Train_In!$C$7</f>
        <v>0.9</v>
      </c>
      <c r="AE17" s="64" t="n">
        <f aca="false">Train_In!$C$7</f>
        <v>0.9</v>
      </c>
      <c r="AF17" s="64" t="n">
        <f aca="false">Train_In!$C$7</f>
        <v>0.9</v>
      </c>
      <c r="AG17" s="79" t="n">
        <v>0.8</v>
      </c>
      <c r="AH17" s="79" t="n">
        <v>0.8</v>
      </c>
    </row>
    <row r="18" customFormat="false" ht="15" hidden="false" customHeight="false" outlineLevel="0" collapsed="false">
      <c r="A18" s="60" t="s">
        <v>1012</v>
      </c>
      <c r="B18" s="60" t="s">
        <v>735</v>
      </c>
      <c r="C18" s="62" t="n">
        <f aca="false">INDEX(DC_Cost!$C$14:$Q$14,3*(C$6-1)+2)/CTL_GW</f>
        <v>291744</v>
      </c>
      <c r="D18" s="62" t="n">
        <f aca="false">INDEX(DC_Cost!$C$14:$Q$14,3*(D$6-1)+2)/CTL_GW</f>
        <v>291744</v>
      </c>
      <c r="E18" s="62" t="n">
        <f aca="false">INDEX(DC_Cost!$C$14:$Q$14,3*(E$6-1)+2)/CTL_GW</f>
        <v>291744</v>
      </c>
      <c r="F18" s="62" t="n">
        <f aca="false">INDEX(DC_Cost!$C$14:$Q$14,3*(F$6-1)+2)/CTL_GW</f>
        <v>291744</v>
      </c>
      <c r="G18" s="62" t="n">
        <f aca="false">INDEX(DC_Cost!$C$14:$Q$14,3*(G$6-1)+2)/CTL_GW</f>
        <v>291744</v>
      </c>
      <c r="H18" s="62" t="n">
        <f aca="false">INDEX(DC_Cost!$C$14:$Q$14,3*(H$6-1)+2)/CTL_GW</f>
        <v>291744</v>
      </c>
      <c r="I18" s="62" t="n">
        <f aca="false">INDEX(DC_Cost!$C$14:$Q$14,3*(I$6-1)+2)/CTL_GW</f>
        <v>291744</v>
      </c>
      <c r="J18" s="62" t="n">
        <f aca="false">INDEX(DC_Cost!$C$14:$Q$14,3*(J$6-1)+2)/CTL_GW</f>
        <v>291744</v>
      </c>
      <c r="K18" s="62" t="n">
        <f aca="false">INDEX(DC_Cost!$C$14:$Q$14,3*(K$6-1)+2)/CTL_GW</f>
        <v>291744</v>
      </c>
      <c r="L18" s="62" t="n">
        <f aca="false">INDEX(DC_Cost!$C$14:$Q$14,3*(L$6-1)+2)/CTL_GW</f>
        <v>291744</v>
      </c>
      <c r="M18" s="62" t="n">
        <f aca="false">INDEX(DC_Cost!$C$14:$Q$14,3*(M$6-1)+2)/CTL_GW</f>
        <v>291744</v>
      </c>
      <c r="N18" s="62" t="n">
        <f aca="false">INDEX(DC_Cost!$C$14:$Q$14,3*(N$6-1)+2)/CTL_GW</f>
        <v>291744</v>
      </c>
      <c r="O18" s="62" t="n">
        <f aca="false">INDEX(DC_Cost!$C$14:$Q$14,3*(O$6-1)+2)/CTL_GW</f>
        <v>291744</v>
      </c>
      <c r="P18" s="62" t="n">
        <f aca="false">INDEX(DC_Cost!$C$14:$Q$14,3*(P$6-1)+2)/CTL_GW</f>
        <v>291744</v>
      </c>
      <c r="Q18" s="62" t="n">
        <f aca="false">INDEX(DC_Cost!$C$14:$Q$14,3*(Q$6-1)+2)/CTL_GW</f>
        <v>291744</v>
      </c>
      <c r="R18" s="62" t="n">
        <f aca="false">INDEX(DC_Cost!$C$14:$Q$14,3*(R$6-1)+2)/CTL_GW</f>
        <v>291744</v>
      </c>
      <c r="S18" s="62" t="n">
        <f aca="false">INDEX(DC_Cost!$C$14:$Q$14,3*(S$6-1)+2)/CTL_GW</f>
        <v>291744</v>
      </c>
      <c r="T18" s="62" t="n">
        <f aca="false">INDEX(DC_Cost!$C$14:$Q$14,3*(T$6-1)+2)/CTL_GW</f>
        <v>291744</v>
      </c>
      <c r="U18" s="62" t="n">
        <f aca="false">INDEX(DC_Cost!$C$14:$Q$14,3*(U$6-1)+2)/CTL_GW</f>
        <v>291744</v>
      </c>
      <c r="V18" s="62" t="n">
        <f aca="false">INDEX(DC_Cost!$C$14:$Q$14,3*(V$6-1)+2)/CTL_GW</f>
        <v>291744</v>
      </c>
      <c r="W18" s="62" t="n">
        <f aca="false">INDEX(DC_Cost!$C$14:$Q$14,3*(W$6-1)+2)/CTL_GW</f>
        <v>291744</v>
      </c>
      <c r="X18" s="62" t="n">
        <f aca="false">INDEX(DC_Cost!$C$14:$Q$14,3*(X$6-1)+2)/CTL_GW</f>
        <v>291744</v>
      </c>
      <c r="Y18" s="62" t="n">
        <f aca="false">INDEX(DC_Cost!$C$14:$Q$14,3*(Y$6-1)+2)/CTL_GW</f>
        <v>291744</v>
      </c>
      <c r="Z18" s="62" t="n">
        <f aca="false">INDEX(DC_Cost!$C$14:$Q$14,3*(Z$6-1)+2)/CTL_GW</f>
        <v>291744</v>
      </c>
      <c r="AA18" s="62" t="n">
        <f aca="false">INDEX(DC_Cost!$C$14:$Q$14,3*(AA$6-1)+2)/CTL_GW</f>
        <v>291744</v>
      </c>
      <c r="AB18" s="62" t="n">
        <f aca="false">INDEX(DC_Cost!$C$14:$Q$14,3*(AB$6-1)+2)/CTL_GW</f>
        <v>291744</v>
      </c>
      <c r="AC18" s="62" t="n">
        <f aca="false">INDEX(DC_Cost!$C$14:$Q$14,3*(AC$6-1)+2)/CTL_GW</f>
        <v>291744</v>
      </c>
      <c r="AD18" s="62" t="n">
        <f aca="false">INDEX(DC_Cost!$C$14:$Q$14,3*(AD$6-1)+2)/CTL_GW</f>
        <v>291744</v>
      </c>
      <c r="AE18" s="62" t="n">
        <f aca="false">INDEX(DC_Cost!$C$14:$Q$14,3*(AE$6-1)+2)/CTL_GW</f>
        <v>291744</v>
      </c>
      <c r="AF18" s="62" t="n">
        <f aca="false">INDEX(DC_Cost!$C$14:$Q$14,3*(AF$6-1)+2)/CTL_GW</f>
        <v>291744</v>
      </c>
      <c r="AG18" s="62" t="n">
        <f aca="false">INDEX(DC_Cost!$C$14:$Q$14,3*(AG$6-1)+2)/CTL_GW</f>
        <v>291744</v>
      </c>
      <c r="AH18" s="62" t="n">
        <f aca="false">INDEX(DC_Cost!$C$14:$Q$14,3*(AH$6-1)+2)/CTL_GW</f>
        <v>291744</v>
      </c>
    </row>
    <row r="19" customFormat="false" ht="15" hidden="false" customHeight="false" outlineLevel="0" collapsed="false">
      <c r="A19" s="60" t="s">
        <v>1013</v>
      </c>
      <c r="B19" s="61" t="s">
        <v>852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0" t="s">
        <v>1014</v>
      </c>
      <c r="B20" s="61" t="s">
        <v>852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5" t="s">
        <v>1015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</row>
    <row r="22" customFormat="false" ht="15" hidden="false" customHeight="false" outlineLevel="0" collapsed="false">
      <c r="A22" s="60" t="s">
        <v>274</v>
      </c>
      <c r="B22" s="61" t="s">
        <v>271</v>
      </c>
      <c r="C22" s="62" t="n">
        <f aca="false">INDEX(Arch!$C$7:$E$7,C$7)*INDEX(ARCH_ScaleGen,1,C$6)</f>
        <v>49</v>
      </c>
      <c r="D22" s="62" t="n">
        <f aca="false">INDEX(Arch!$C$7:$E$7,D$7)*INDEX(ARCH_ScaleGen,1,D$6)</f>
        <v>180</v>
      </c>
      <c r="E22" s="62" t="n">
        <f aca="false">INDEX(Arch!$C$7:$E$7,E$7)*INDEX(ARCH_ScaleGen,1,E$6)</f>
        <v>49</v>
      </c>
      <c r="F22" s="62" t="n">
        <f aca="false">INDEX(Arch!$C$7:$E$7,F$7)*INDEX(ARCH_ScaleGen,1,F$6)</f>
        <v>180</v>
      </c>
      <c r="G22" s="62" t="n">
        <f aca="false">INDEX(Arch!$C$7:$E$7,G$7)*INDEX(ARCH_ScaleGen,1,G$6)</f>
        <v>49</v>
      </c>
      <c r="H22" s="62" t="n">
        <f aca="false">INDEX(Arch!$C$7:$E$7,H$7)*INDEX(ARCH_ScaleGen,1,H$6)</f>
        <v>180</v>
      </c>
      <c r="I22" s="62" t="n">
        <f aca="false">INDEX(Arch!$C$7:$E$7,I$7)*INDEX(ARCH_ScaleGen,1,I$6)</f>
        <v>49</v>
      </c>
      <c r="J22" s="62" t="n">
        <f aca="false">INDEX(Arch!$C$7:$E$7,J$7)*INDEX(ARCH_ScaleGen,1,J$6)</f>
        <v>180</v>
      </c>
      <c r="K22" s="62" t="n">
        <f aca="false">INDEX(Arch!$C$7:$E$7,K$7)*INDEX(ARCH_ScaleGen,1,K$6)</f>
        <v>49</v>
      </c>
      <c r="L22" s="62" t="n">
        <f aca="false">INDEX(Arch!$C$7:$E$7,L$7)*INDEX(ARCH_ScaleGen,1,L$6)</f>
        <v>180</v>
      </c>
      <c r="M22" s="62" t="n">
        <f aca="false">INDEX(Arch!$C$7:$E$7,M$7)*INDEX(ARCH_ScaleGen,1,M$6)</f>
        <v>49</v>
      </c>
      <c r="N22" s="62" t="n">
        <f aca="false">INDEX(Arch!$C$7:$E$7,N$7)*INDEX(ARCH_ScaleGen,1,N$6)</f>
        <v>180</v>
      </c>
      <c r="O22" s="62" t="n">
        <f aca="false">INDEX(Arch!$C$7:$E$7,O$7)*INDEX(ARCH_ScaleGen,1,O$6)</f>
        <v>49</v>
      </c>
      <c r="P22" s="62" t="n">
        <f aca="false">INDEX(Arch!$C$7:$E$7,P$7)*INDEX(ARCH_ScaleGen,1,P$6)</f>
        <v>180</v>
      </c>
      <c r="Q22" s="62" t="n">
        <f aca="false">INDEX(Arch!$C$7:$E$7,Q$7)*INDEX(ARCH_ScaleGen,1,Q$6)</f>
        <v>49</v>
      </c>
      <c r="R22" s="62" t="n">
        <f aca="false">INDEX(Arch!$C$7:$E$7,R$7)*INDEX(ARCH_ScaleGen,1,R$6)</f>
        <v>180</v>
      </c>
      <c r="S22" s="62" t="n">
        <f aca="false">INDEX(Arch!$C$7:$E$7,S$7)*INDEX(ARCH_ScaleGen,1,S$6)</f>
        <v>49</v>
      </c>
      <c r="T22" s="62" t="n">
        <f aca="false">INDEX(Arch!$C$7:$E$7,T$7)*INDEX(ARCH_ScaleGen,1,T$6)</f>
        <v>180</v>
      </c>
      <c r="U22" s="62" t="n">
        <f aca="false">INDEX(Arch!$C$7:$E$7,U$7)*INDEX(ARCH_ScaleGen,1,U$6)</f>
        <v>49</v>
      </c>
      <c r="V22" s="62" t="n">
        <f aca="false">INDEX(Arch!$C$7:$E$7,V$7)*INDEX(ARCH_ScaleGen,1,V$6)</f>
        <v>180</v>
      </c>
      <c r="W22" s="62" t="n">
        <f aca="false">INDEX(Arch!$C$7:$E$7,W$7)*INDEX(ARCH_ScaleGen,1,W$6)</f>
        <v>49</v>
      </c>
      <c r="X22" s="62" t="n">
        <f aca="false">INDEX(Arch!$C$7:$E$7,X$7)*INDEX(ARCH_ScaleGen,1,X$6)</f>
        <v>180</v>
      </c>
      <c r="Y22" s="62" t="n">
        <f aca="false">INDEX(Arch!$C$7:$E$7,Y$7)*INDEX(ARCH_ScaleGen,1,Y$6)</f>
        <v>49</v>
      </c>
      <c r="Z22" s="62" t="n">
        <f aca="false">INDEX(Arch!$C$7:$E$7,Z$7)*INDEX(ARCH_ScaleGen,1,Z$6)</f>
        <v>180</v>
      </c>
      <c r="AA22" s="62" t="n">
        <f aca="false">INDEX(Arch!$C$7:$E$7,AA$7)*INDEX(ARCH_ScaleGen,1,AA$6)</f>
        <v>49</v>
      </c>
      <c r="AB22" s="62" t="n">
        <f aca="false">INDEX(Arch!$C$7:$E$7,AB$7)*INDEX(ARCH_ScaleGen,1,AB$6)</f>
        <v>180</v>
      </c>
      <c r="AC22" s="62" t="n">
        <f aca="false">INDEX(Arch!$C$7:$E$7,AC$7)*INDEX(ARCH_ScaleGen,1,AC$6)</f>
        <v>49</v>
      </c>
      <c r="AD22" s="62" t="n">
        <f aca="false">INDEX(Arch!$C$7:$E$7,AD$7)*INDEX(ARCH_ScaleGen,1,AD$6)</f>
        <v>180</v>
      </c>
      <c r="AE22" s="62" t="n">
        <f aca="false">INDEX(Arch!$C$7:$E$7,AE$7)*INDEX(ARCH_ScaleGen,1,AE$6)</f>
        <v>49</v>
      </c>
      <c r="AF22" s="62" t="n">
        <f aca="false">INDEX(Arch!$C$7:$E$7,AF$7)*INDEX(ARCH_ScaleGen,1,AF$6)</f>
        <v>180</v>
      </c>
      <c r="AG22" s="62" t="n">
        <f aca="false">INDEX(Arch!$C$7:$E$7,AG$7)*INDEX(ARCH_ScaleGen,1,AG$6)</f>
        <v>49</v>
      </c>
      <c r="AH22" s="62" t="n">
        <f aca="false">INDEX(Arch!$C$7:$E$7,AH$7)*INDEX(ARCH_ScaleGen,1,AH$6)</f>
        <v>180</v>
      </c>
    </row>
    <row r="23" customFormat="false" ht="15" hidden="false" customHeight="false" outlineLevel="0" collapsed="false">
      <c r="A23" s="60" t="s">
        <v>487</v>
      </c>
      <c r="B23" s="61" t="s">
        <v>314</v>
      </c>
      <c r="C23" s="62" t="n">
        <f aca="false">INDEX(Arch!$C$30:$E$30,C$7)</f>
        <v>15990784</v>
      </c>
      <c r="D23" s="62" t="n">
        <f aca="false">INDEX(Arch!$C$30:$E$30,D$7)</f>
        <v>4915200</v>
      </c>
      <c r="E23" s="62" t="n">
        <f aca="false">INDEX(Arch!$C$30:$E$30,E$7)</f>
        <v>15990784</v>
      </c>
      <c r="F23" s="62" t="n">
        <f aca="false">INDEX(Arch!$C$30:$E$30,F$7)</f>
        <v>4915200</v>
      </c>
      <c r="G23" s="62" t="n">
        <f aca="false">INDEX(Arch!$C$30:$E$30,G$7)</f>
        <v>15990784</v>
      </c>
      <c r="H23" s="62" t="n">
        <f aca="false">INDEX(Arch!$C$30:$E$30,H$7)</f>
        <v>4915200</v>
      </c>
      <c r="I23" s="62" t="n">
        <f aca="false">INDEX(Arch!$C$30:$E$30,I$7)</f>
        <v>15990784</v>
      </c>
      <c r="J23" s="62" t="n">
        <f aca="false">INDEX(Arch!$C$30:$E$30,J$7)</f>
        <v>4915200</v>
      </c>
      <c r="K23" s="62" t="n">
        <f aca="false">INDEX(Arch!$C$30:$E$30,K$7)</f>
        <v>15990784</v>
      </c>
      <c r="L23" s="62" t="n">
        <f aca="false">INDEX(Arch!$C$30:$E$30,L$7)</f>
        <v>4915200</v>
      </c>
      <c r="M23" s="62" t="n">
        <f aca="false">INDEX(Arch!$C$30:$E$30,M$7)</f>
        <v>15990784</v>
      </c>
      <c r="N23" s="62" t="n">
        <f aca="false">INDEX(Arch!$C$30:$E$30,N$7)</f>
        <v>4915200</v>
      </c>
      <c r="O23" s="62" t="n">
        <f aca="false">INDEX(Arch!$C$30:$E$30,O$7)</f>
        <v>15990784</v>
      </c>
      <c r="P23" s="62" t="n">
        <f aca="false">INDEX(Arch!$C$30:$E$30,P$7)</f>
        <v>4915200</v>
      </c>
      <c r="Q23" s="62" t="n">
        <f aca="false">INDEX(Arch!$C$30:$E$30,Q$7)</f>
        <v>15990784</v>
      </c>
      <c r="R23" s="62" t="n">
        <f aca="false">INDEX(Arch!$C$30:$E$30,R$7)</f>
        <v>4915200</v>
      </c>
      <c r="S23" s="62" t="n">
        <f aca="false">INDEX(Arch!$C$30:$E$30,S$7)</f>
        <v>15990784</v>
      </c>
      <c r="T23" s="62" t="n">
        <f aca="false">INDEX(Arch!$C$30:$E$30,T$7)</f>
        <v>4915200</v>
      </c>
      <c r="U23" s="62" t="n">
        <f aca="false">INDEX(Arch!$C$30:$E$30,U$7)</f>
        <v>15990784</v>
      </c>
      <c r="V23" s="62" t="n">
        <f aca="false">INDEX(Arch!$C$30:$E$30,V$7)</f>
        <v>4915200</v>
      </c>
      <c r="W23" s="62" t="n">
        <f aca="false">INDEX(Arch!$C$30:$E$30,W$7)</f>
        <v>15990784</v>
      </c>
      <c r="X23" s="62" t="n">
        <f aca="false">INDEX(Arch!$C$30:$E$30,X$7)</f>
        <v>4915200</v>
      </c>
      <c r="Y23" s="62" t="n">
        <f aca="false">INDEX(Arch!$C$30:$E$30,Y$7)</f>
        <v>15990784</v>
      </c>
      <c r="Z23" s="62" t="n">
        <f aca="false">INDEX(Arch!$C$30:$E$30,Z$7)</f>
        <v>4915200</v>
      </c>
      <c r="AA23" s="62" t="n">
        <f aca="false">INDEX(Arch!$C$30:$E$30,AA$7)</f>
        <v>15990784</v>
      </c>
      <c r="AB23" s="62" t="n">
        <f aca="false">INDEX(Arch!$C$30:$E$30,AB$7)</f>
        <v>4915200</v>
      </c>
      <c r="AC23" s="62" t="n">
        <f aca="false">INDEX(Arch!$C$30:$E$30,AC$7)</f>
        <v>15990784</v>
      </c>
      <c r="AD23" s="62" t="n">
        <f aca="false">INDEX(Arch!$C$30:$E$30,AD$7)</f>
        <v>4915200</v>
      </c>
      <c r="AE23" s="62" t="n">
        <f aca="false">INDEX(Arch!$C$30:$E$30,AE$7)</f>
        <v>15990784</v>
      </c>
      <c r="AF23" s="62" t="n">
        <f aca="false">INDEX(Arch!$C$30:$E$30,AF$7)</f>
        <v>4915200</v>
      </c>
      <c r="AG23" s="62" t="n">
        <f aca="false">INDEX(Arch!$C$30:$E$30,AG$7)</f>
        <v>15990784</v>
      </c>
      <c r="AH23" s="62" t="n">
        <f aca="false">INDEX(Arch!$C$30:$E$30,AH$7)</f>
        <v>4915200</v>
      </c>
    </row>
    <row r="24" customFormat="false" ht="15" hidden="false" customHeight="false" outlineLevel="0" collapsed="false">
      <c r="A24" s="60" t="s">
        <v>289</v>
      </c>
      <c r="B24" s="61" t="s">
        <v>99</v>
      </c>
      <c r="C24" s="64" t="n">
        <f aca="false">INDEX(Arch!$C$16:$E$16,C$7)</f>
        <v>0.492</v>
      </c>
      <c r="D24" s="64" t="n">
        <f aca="false">INDEX(Arch!$C$16:$E$16,D$7)</f>
        <v>1</v>
      </c>
      <c r="E24" s="64" t="n">
        <f aca="false">INDEX(Arch!$C$16:$E$16,E$7)</f>
        <v>0.492</v>
      </c>
      <c r="F24" s="64" t="n">
        <f aca="false">INDEX(Arch!$C$16:$E$16,F$7)</f>
        <v>1</v>
      </c>
      <c r="G24" s="64" t="n">
        <f aca="false">INDEX(Arch!$C$16:$E$16,G$7)</f>
        <v>0.492</v>
      </c>
      <c r="H24" s="64" t="n">
        <f aca="false">INDEX(Arch!$C$16:$E$16,H$7)</f>
        <v>1</v>
      </c>
      <c r="I24" s="64" t="n">
        <f aca="false">INDEX(Arch!$C$16:$E$16,I$7)</f>
        <v>0.492</v>
      </c>
      <c r="J24" s="64" t="n">
        <f aca="false">INDEX(Arch!$C$16:$E$16,J$7)</f>
        <v>1</v>
      </c>
      <c r="K24" s="64" t="n">
        <f aca="false">INDEX(Arch!$C$16:$E$16,K$7)</f>
        <v>0.492</v>
      </c>
      <c r="L24" s="64" t="n">
        <f aca="false">INDEX(Arch!$C$16:$E$16,L$7)</f>
        <v>1</v>
      </c>
      <c r="M24" s="64" t="n">
        <f aca="false">INDEX(Arch!$C$16:$E$16,M$7)</f>
        <v>0.492</v>
      </c>
      <c r="N24" s="64" t="n">
        <f aca="false">INDEX(Arch!$C$16:$E$16,N$7)</f>
        <v>1</v>
      </c>
      <c r="O24" s="64" t="n">
        <f aca="false">INDEX(Arch!$C$16:$E$16,O$7)</f>
        <v>0.492</v>
      </c>
      <c r="P24" s="64" t="n">
        <f aca="false">INDEX(Arch!$C$16:$E$16,P$7)</f>
        <v>1</v>
      </c>
      <c r="Q24" s="64" t="n">
        <f aca="false">INDEX(Arch!$C$16:$E$16,Q$7)</f>
        <v>0.492</v>
      </c>
      <c r="R24" s="64" t="n">
        <f aca="false">INDEX(Arch!$C$16:$E$16,R$7)</f>
        <v>1</v>
      </c>
      <c r="S24" s="64" t="n">
        <f aca="false">INDEX(Arch!$C$16:$E$16,S$7)</f>
        <v>0.492</v>
      </c>
      <c r="T24" s="64" t="n">
        <f aca="false">INDEX(Arch!$C$16:$E$16,T$7)</f>
        <v>1</v>
      </c>
      <c r="U24" s="64" t="n">
        <f aca="false">INDEX(Arch!$C$16:$E$16,U$7)</f>
        <v>0.492</v>
      </c>
      <c r="V24" s="64" t="n">
        <f aca="false">INDEX(Arch!$C$16:$E$16,V$7)</f>
        <v>1</v>
      </c>
      <c r="W24" s="64" t="n">
        <f aca="false">INDEX(Arch!$C$16:$E$16,W$7)</f>
        <v>0.492</v>
      </c>
      <c r="X24" s="64" t="n">
        <f aca="false">INDEX(Arch!$C$16:$E$16,X$7)</f>
        <v>1</v>
      </c>
      <c r="Y24" s="64" t="n">
        <f aca="false">INDEX(Arch!$C$16:$E$16,Y$7)</f>
        <v>0.492</v>
      </c>
      <c r="Z24" s="64" t="n">
        <f aca="false">INDEX(Arch!$C$16:$E$16,Z$7)</f>
        <v>1</v>
      </c>
      <c r="AA24" s="64" t="n">
        <f aca="false">INDEX(Arch!$C$16:$E$16,AA$7)</f>
        <v>0.492</v>
      </c>
      <c r="AB24" s="64" t="n">
        <f aca="false">INDEX(Arch!$C$16:$E$16,AB$7)</f>
        <v>1</v>
      </c>
      <c r="AC24" s="64" t="n">
        <f aca="false">INDEX(Arch!$C$16:$E$16,AC$7)</f>
        <v>0.492</v>
      </c>
      <c r="AD24" s="64" t="n">
        <f aca="false">INDEX(Arch!$C$16:$E$16,AD$7)</f>
        <v>1</v>
      </c>
      <c r="AE24" s="64" t="n">
        <f aca="false">INDEX(Arch!$C$16:$E$16,AE$7)</f>
        <v>0.492</v>
      </c>
      <c r="AF24" s="64" t="n">
        <f aca="false">INDEX(Arch!$C$16:$E$16,AF$7)</f>
        <v>1</v>
      </c>
      <c r="AG24" s="64" t="n">
        <f aca="false">INDEX(Arch!$C$16:$E$16,AG$7)</f>
        <v>0.492</v>
      </c>
      <c r="AH24" s="64" t="n">
        <f aca="false">INDEX(Arch!$C$16:$E$16,AH$7)</f>
        <v>1</v>
      </c>
    </row>
    <row r="25" customFormat="false" ht="15" hidden="false" customHeight="false" outlineLevel="0" collapsed="false">
      <c r="A25" s="60" t="s">
        <v>747</v>
      </c>
      <c r="B25" s="61" t="s">
        <v>292</v>
      </c>
      <c r="C25" s="62" t="n">
        <f aca="false">INDEX(Arch!$C$17:$E$17,C$7)</f>
        <v>4224</v>
      </c>
      <c r="D25" s="62" t="n">
        <f aca="false">INDEX(Arch!$C$17:$E$17,D$7)</f>
        <v>0</v>
      </c>
      <c r="E25" s="62" t="n">
        <f aca="false">INDEX(Arch!$C$17:$E$17,E$7)</f>
        <v>4224</v>
      </c>
      <c r="F25" s="62" t="n">
        <f aca="false">INDEX(Arch!$C$17:$E$17,F$7)</f>
        <v>0</v>
      </c>
      <c r="G25" s="62" t="n">
        <f aca="false">INDEX(Arch!$C$17:$E$17,G$7)</f>
        <v>4224</v>
      </c>
      <c r="H25" s="62" t="n">
        <f aca="false">INDEX(Arch!$C$17:$E$17,H$7)</f>
        <v>0</v>
      </c>
      <c r="I25" s="62" t="n">
        <f aca="false">INDEX(Arch!$C$17:$E$17,I$7)</f>
        <v>4224</v>
      </c>
      <c r="J25" s="62" t="n">
        <f aca="false">INDEX(Arch!$C$17:$E$17,J$7)</f>
        <v>0</v>
      </c>
      <c r="K25" s="62" t="n">
        <f aca="false">INDEX(Arch!$C$17:$E$17,K$7)</f>
        <v>4224</v>
      </c>
      <c r="L25" s="62" t="n">
        <f aca="false">INDEX(Arch!$C$17:$E$17,L$7)</f>
        <v>0</v>
      </c>
      <c r="M25" s="62" t="n">
        <f aca="false">INDEX(Arch!$C$17:$E$17,M$7)</f>
        <v>4224</v>
      </c>
      <c r="N25" s="62" t="n">
        <f aca="false">INDEX(Arch!$C$17:$E$17,N$7)</f>
        <v>0</v>
      </c>
      <c r="O25" s="62" t="n">
        <f aca="false">INDEX(Arch!$C$17:$E$17,O$7)</f>
        <v>4224</v>
      </c>
      <c r="P25" s="62" t="n">
        <f aca="false">INDEX(Arch!$C$17:$E$17,P$7)</f>
        <v>0</v>
      </c>
      <c r="Q25" s="62" t="n">
        <f aca="false">INDEX(Arch!$C$17:$E$17,Q$7)</f>
        <v>4224</v>
      </c>
      <c r="R25" s="62" t="n">
        <f aca="false">INDEX(Arch!$C$17:$E$17,R$7)</f>
        <v>0</v>
      </c>
      <c r="S25" s="62" t="n">
        <f aca="false">INDEX(Arch!$C$17:$E$17,S$7)</f>
        <v>4224</v>
      </c>
      <c r="T25" s="62" t="n">
        <f aca="false">INDEX(Arch!$C$17:$E$17,T$7)</f>
        <v>0</v>
      </c>
      <c r="U25" s="62" t="n">
        <f aca="false">INDEX(Arch!$C$17:$E$17,U$7)</f>
        <v>4224</v>
      </c>
      <c r="V25" s="62" t="n">
        <f aca="false">INDEX(Arch!$C$17:$E$17,V$7)</f>
        <v>0</v>
      </c>
      <c r="W25" s="62" t="n">
        <f aca="false">INDEX(Arch!$C$17:$E$17,W$7)</f>
        <v>4224</v>
      </c>
      <c r="X25" s="62" t="n">
        <f aca="false">INDEX(Arch!$C$17:$E$17,X$7)</f>
        <v>0</v>
      </c>
      <c r="Y25" s="62" t="n">
        <f aca="false">INDEX(Arch!$C$17:$E$17,Y$7)</f>
        <v>4224</v>
      </c>
      <c r="Z25" s="62" t="n">
        <f aca="false">INDEX(Arch!$C$17:$E$17,Z$7)</f>
        <v>0</v>
      </c>
      <c r="AA25" s="62" t="n">
        <f aca="false">INDEX(Arch!$C$17:$E$17,AA$7)</f>
        <v>4224</v>
      </c>
      <c r="AB25" s="62" t="n">
        <f aca="false">INDEX(Arch!$C$17:$E$17,AB$7)</f>
        <v>0</v>
      </c>
      <c r="AC25" s="62" t="n">
        <f aca="false">INDEX(Arch!$C$17:$E$17,AC$7)</f>
        <v>4224</v>
      </c>
      <c r="AD25" s="62" t="n">
        <f aca="false">INDEX(Arch!$C$17:$E$17,AD$7)</f>
        <v>0</v>
      </c>
      <c r="AE25" s="62" t="n">
        <f aca="false">INDEX(Arch!$C$17:$E$17,AE$7)</f>
        <v>4224</v>
      </c>
      <c r="AF25" s="62" t="n">
        <f aca="false">INDEX(Arch!$C$17:$E$17,AF$7)</f>
        <v>0</v>
      </c>
      <c r="AG25" s="62" t="n">
        <f aca="false">INDEX(Arch!$C$17:$E$17,AG$7)</f>
        <v>4224</v>
      </c>
      <c r="AH25" s="62" t="n">
        <f aca="false">INDEX(Arch!$C$17:$E$17,AH$7)</f>
        <v>0</v>
      </c>
    </row>
    <row r="26" customFormat="false" ht="15" hidden="false" customHeight="false" outlineLevel="0" collapsed="false">
      <c r="A26" s="60" t="s">
        <v>294</v>
      </c>
      <c r="B26" s="61" t="s">
        <v>103</v>
      </c>
      <c r="C26" s="62" t="n">
        <f aca="false">INDEX(Arch!$C$18:$E$18,C$7)</f>
        <v>128</v>
      </c>
      <c r="D26" s="62" t="n">
        <f aca="false">INDEX(Arch!$C$18:$E$18,D$7)</f>
        <v>1</v>
      </c>
      <c r="E26" s="62" t="n">
        <f aca="false">INDEX(Arch!$C$18:$E$18,E$7)</f>
        <v>128</v>
      </c>
      <c r="F26" s="62" t="n">
        <f aca="false">INDEX(Arch!$C$18:$E$18,F$7)</f>
        <v>1</v>
      </c>
      <c r="G26" s="62" t="n">
        <f aca="false">INDEX(Arch!$C$18:$E$18,G$7)</f>
        <v>128</v>
      </c>
      <c r="H26" s="62" t="n">
        <f aca="false">INDEX(Arch!$C$18:$E$18,H$7)</f>
        <v>1</v>
      </c>
      <c r="I26" s="62" t="n">
        <f aca="false">INDEX(Arch!$C$18:$E$18,I$7)</f>
        <v>128</v>
      </c>
      <c r="J26" s="62" t="n">
        <f aca="false">INDEX(Arch!$C$18:$E$18,J$7)</f>
        <v>1</v>
      </c>
      <c r="K26" s="62" t="n">
        <f aca="false">INDEX(Arch!$C$18:$E$18,K$7)</f>
        <v>128</v>
      </c>
      <c r="L26" s="62" t="n">
        <f aca="false">INDEX(Arch!$C$18:$E$18,L$7)</f>
        <v>1</v>
      </c>
      <c r="M26" s="62" t="n">
        <f aca="false">INDEX(Arch!$C$18:$E$18,M$7)</f>
        <v>128</v>
      </c>
      <c r="N26" s="62" t="n">
        <f aca="false">INDEX(Arch!$C$18:$E$18,N$7)</f>
        <v>1</v>
      </c>
      <c r="O26" s="62" t="n">
        <f aca="false">INDEX(Arch!$C$18:$E$18,O$7)</f>
        <v>128</v>
      </c>
      <c r="P26" s="62" t="n">
        <f aca="false">INDEX(Arch!$C$18:$E$18,P$7)</f>
        <v>1</v>
      </c>
      <c r="Q26" s="62" t="n">
        <f aca="false">INDEX(Arch!$C$18:$E$18,Q$7)</f>
        <v>128</v>
      </c>
      <c r="R26" s="62" t="n">
        <f aca="false">INDEX(Arch!$C$18:$E$18,R$7)</f>
        <v>1</v>
      </c>
      <c r="S26" s="62" t="n">
        <f aca="false">INDEX(Arch!$C$18:$E$18,S$7)</f>
        <v>128</v>
      </c>
      <c r="T26" s="62" t="n">
        <f aca="false">INDEX(Arch!$C$18:$E$18,T$7)</f>
        <v>1</v>
      </c>
      <c r="U26" s="62" t="n">
        <f aca="false">INDEX(Arch!$C$18:$E$18,U$7)</f>
        <v>128</v>
      </c>
      <c r="V26" s="62" t="n">
        <f aca="false">INDEX(Arch!$C$18:$E$18,V$7)</f>
        <v>1</v>
      </c>
      <c r="W26" s="62" t="n">
        <f aca="false">INDEX(Arch!$C$18:$E$18,W$7)</f>
        <v>128</v>
      </c>
      <c r="X26" s="62" t="n">
        <f aca="false">INDEX(Arch!$C$18:$E$18,X$7)</f>
        <v>1</v>
      </c>
      <c r="Y26" s="62" t="n">
        <f aca="false">INDEX(Arch!$C$18:$E$18,Y$7)</f>
        <v>128</v>
      </c>
      <c r="Z26" s="62" t="n">
        <f aca="false">INDEX(Arch!$C$18:$E$18,Z$7)</f>
        <v>1</v>
      </c>
      <c r="AA26" s="62" t="n">
        <f aca="false">INDEX(Arch!$C$18:$E$18,AA$7)</f>
        <v>128</v>
      </c>
      <c r="AB26" s="62" t="n">
        <f aca="false">INDEX(Arch!$C$18:$E$18,AB$7)</f>
        <v>1</v>
      </c>
      <c r="AC26" s="62" t="n">
        <f aca="false">INDEX(Arch!$C$18:$E$18,AC$7)</f>
        <v>128</v>
      </c>
      <c r="AD26" s="62" t="n">
        <f aca="false">INDEX(Arch!$C$18:$E$18,AD$7)</f>
        <v>1</v>
      </c>
      <c r="AE26" s="62" t="n">
        <f aca="false">INDEX(Arch!$C$18:$E$18,AE$7)</f>
        <v>128</v>
      </c>
      <c r="AF26" s="62" t="n">
        <f aca="false">INDEX(Arch!$C$18:$E$18,AF$7)</f>
        <v>1</v>
      </c>
      <c r="AG26" s="62" t="n">
        <f aca="false">INDEX(Arch!$C$18:$E$18,AG$7)</f>
        <v>128</v>
      </c>
      <c r="AH26" s="62" t="n">
        <f aca="false">INDEX(Arch!$C$18:$E$18,AH$7)</f>
        <v>1</v>
      </c>
    </row>
    <row r="27" customFormat="false" ht="15" hidden="false" customHeight="false" outlineLevel="0" collapsed="false">
      <c r="A27" s="60" t="s">
        <v>296</v>
      </c>
      <c r="B27" s="61" t="s">
        <v>292</v>
      </c>
      <c r="C27" s="62" t="n">
        <f aca="false">INDEX(Arch!$C$19:$E$19,C$7)</f>
        <v>128</v>
      </c>
      <c r="D27" s="62" t="n">
        <f aca="false">INDEX(Arch!$C$19:$E$19,D$7)</f>
        <v>0</v>
      </c>
      <c r="E27" s="62" t="n">
        <f aca="false">INDEX(Arch!$C$19:$E$19,E$7)</f>
        <v>128</v>
      </c>
      <c r="F27" s="62" t="n">
        <f aca="false">INDEX(Arch!$C$19:$E$19,F$7)</f>
        <v>0</v>
      </c>
      <c r="G27" s="62" t="n">
        <f aca="false">INDEX(Arch!$C$19:$E$19,G$7)</f>
        <v>128</v>
      </c>
      <c r="H27" s="62" t="n">
        <f aca="false">INDEX(Arch!$C$19:$E$19,H$7)</f>
        <v>0</v>
      </c>
      <c r="I27" s="62" t="n">
        <f aca="false">INDEX(Arch!$C$19:$E$19,I$7)</f>
        <v>128</v>
      </c>
      <c r="J27" s="62" t="n">
        <f aca="false">INDEX(Arch!$C$19:$E$19,J$7)</f>
        <v>0</v>
      </c>
      <c r="K27" s="62" t="n">
        <f aca="false">INDEX(Arch!$C$19:$E$19,K$7)</f>
        <v>128</v>
      </c>
      <c r="L27" s="62" t="n">
        <f aca="false">INDEX(Arch!$C$19:$E$19,L$7)</f>
        <v>0</v>
      </c>
      <c r="M27" s="62" t="n">
        <f aca="false">INDEX(Arch!$C$19:$E$19,M$7)</f>
        <v>128</v>
      </c>
      <c r="N27" s="62" t="n">
        <f aca="false">INDEX(Arch!$C$19:$E$19,N$7)</f>
        <v>0</v>
      </c>
      <c r="O27" s="62" t="n">
        <f aca="false">INDEX(Arch!$C$19:$E$19,O$7)</f>
        <v>128</v>
      </c>
      <c r="P27" s="62" t="n">
        <f aca="false">INDEX(Arch!$C$19:$E$19,P$7)</f>
        <v>0</v>
      </c>
      <c r="Q27" s="62" t="n">
        <f aca="false">INDEX(Arch!$C$19:$E$19,Q$7)</f>
        <v>128</v>
      </c>
      <c r="R27" s="62" t="n">
        <f aca="false">INDEX(Arch!$C$19:$E$19,R$7)</f>
        <v>0</v>
      </c>
      <c r="S27" s="62" t="n">
        <f aca="false">INDEX(Arch!$C$19:$E$19,S$7)</f>
        <v>128</v>
      </c>
      <c r="T27" s="62" t="n">
        <f aca="false">INDEX(Arch!$C$19:$E$19,T$7)</f>
        <v>0</v>
      </c>
      <c r="U27" s="62" t="n">
        <f aca="false">INDEX(Arch!$C$19:$E$19,U$7)</f>
        <v>128</v>
      </c>
      <c r="V27" s="62" t="n">
        <f aca="false">INDEX(Arch!$C$19:$E$19,V$7)</f>
        <v>0</v>
      </c>
      <c r="W27" s="62" t="n">
        <f aca="false">INDEX(Arch!$C$19:$E$19,W$7)</f>
        <v>128</v>
      </c>
      <c r="X27" s="62" t="n">
        <f aca="false">INDEX(Arch!$C$19:$E$19,X$7)</f>
        <v>0</v>
      </c>
      <c r="Y27" s="62" t="n">
        <f aca="false">INDEX(Arch!$C$19:$E$19,Y$7)</f>
        <v>128</v>
      </c>
      <c r="Z27" s="62" t="n">
        <f aca="false">INDEX(Arch!$C$19:$E$19,Z$7)</f>
        <v>0</v>
      </c>
      <c r="AA27" s="62" t="n">
        <f aca="false">INDEX(Arch!$C$19:$E$19,AA$7)</f>
        <v>128</v>
      </c>
      <c r="AB27" s="62" t="n">
        <f aca="false">INDEX(Arch!$C$19:$E$19,AB$7)</f>
        <v>0</v>
      </c>
      <c r="AC27" s="62" t="n">
        <f aca="false">INDEX(Arch!$C$19:$E$19,AC$7)</f>
        <v>128</v>
      </c>
      <c r="AD27" s="62" t="n">
        <f aca="false">INDEX(Arch!$C$19:$E$19,AD$7)</f>
        <v>0</v>
      </c>
      <c r="AE27" s="62" t="n">
        <f aca="false">INDEX(Arch!$C$19:$E$19,AE$7)</f>
        <v>128</v>
      </c>
      <c r="AF27" s="62" t="n">
        <f aca="false">INDEX(Arch!$C$19:$E$19,AF$7)</f>
        <v>0</v>
      </c>
      <c r="AG27" s="62" t="n">
        <f aca="false">INDEX(Arch!$C$19:$E$19,AG$7)</f>
        <v>128</v>
      </c>
      <c r="AH27" s="62" t="n">
        <f aca="false">INDEX(Arch!$C$19:$E$19,AH$7)</f>
        <v>0</v>
      </c>
    </row>
    <row r="28" customFormat="false" ht="15" hidden="false" customHeight="false" outlineLevel="0" collapsed="false">
      <c r="A28" s="61" t="s">
        <v>725</v>
      </c>
      <c r="B28" s="61" t="s">
        <v>103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5" t="s">
        <v>1016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</row>
    <row r="30" customFormat="false" ht="15" hidden="false" customHeight="false" outlineLevel="0" collapsed="false">
      <c r="A30" s="60" t="s">
        <v>1017</v>
      </c>
      <c r="B30" s="61" t="s">
        <v>103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0" t="n">
        <v>0.5</v>
      </c>
      <c r="L30" s="80" t="n">
        <v>0.5</v>
      </c>
      <c r="M30" s="80" t="n">
        <v>1.67</v>
      </c>
      <c r="N30" s="80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0" t="s">
        <v>953</v>
      </c>
      <c r="B31" s="61" t="s">
        <v>954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0" t="s">
        <v>1018</v>
      </c>
      <c r="B32" s="61" t="s">
        <v>292</v>
      </c>
      <c r="C32" s="62" t="n">
        <f aca="false">INDEX(Train_In!$C$26:$E$26,C$7)</f>
        <v>4096</v>
      </c>
      <c r="D32" s="62" t="n">
        <f aca="false">INDEX(Train_In!$C$26:$E$26,D$7)</f>
        <v>8192</v>
      </c>
      <c r="E32" s="62" t="n">
        <f aca="false">INDEX(Train_In!$C$26:$E$26,E$7)</f>
        <v>4096</v>
      </c>
      <c r="F32" s="62" t="n">
        <f aca="false">INDEX(Train_In!$C$26:$E$26,F$7)</f>
        <v>8192</v>
      </c>
      <c r="G32" s="62" t="n">
        <f aca="false">INDEX(Train_In!$C$26:$E$26,G$7)</f>
        <v>4096</v>
      </c>
      <c r="H32" s="62" t="n">
        <f aca="false">INDEX(Train_In!$C$26:$E$26,H$7)</f>
        <v>8192</v>
      </c>
      <c r="I32" s="62" t="n">
        <f aca="false">INDEX(Train_In!$C$26:$E$26,I$7)</f>
        <v>4096</v>
      </c>
      <c r="J32" s="62" t="n">
        <f aca="false">INDEX(Train_In!$C$26:$E$26,J$7)</f>
        <v>8192</v>
      </c>
      <c r="K32" s="62" t="n">
        <f aca="false">INDEX(Train_In!$C$26:$E$26,K$7)</f>
        <v>4096</v>
      </c>
      <c r="L32" s="62" t="n">
        <f aca="false">INDEX(Train_In!$C$26:$E$26,L$7)</f>
        <v>8192</v>
      </c>
      <c r="M32" s="62" t="n">
        <f aca="false">INDEX(Train_In!$C$26:$E$26,M$7)</f>
        <v>4096</v>
      </c>
      <c r="N32" s="62" t="n">
        <f aca="false">INDEX(Train_In!$C$26:$E$26,N$7)</f>
        <v>8192</v>
      </c>
      <c r="O32" s="62" t="n">
        <f aca="false">INDEX(Train_In!$C$26:$E$26,O$7)</f>
        <v>4096</v>
      </c>
      <c r="P32" s="62" t="n">
        <f aca="false">INDEX(Train_In!$C$26:$E$26,P$7)</f>
        <v>8192</v>
      </c>
      <c r="Q32" s="62" t="n">
        <f aca="false">INDEX(Train_In!$C$26:$E$26,Q$7)</f>
        <v>4096</v>
      </c>
      <c r="R32" s="62" t="n">
        <f aca="false">INDEX(Train_In!$C$26:$E$26,R$7)</f>
        <v>8192</v>
      </c>
      <c r="S32" s="62" t="n">
        <f aca="false">INDEX(Train_In!$C$26:$E$26,S$7)</f>
        <v>4096</v>
      </c>
      <c r="T32" s="62" t="n">
        <f aca="false">INDEX(Train_In!$C$26:$E$26,T$7)</f>
        <v>8192</v>
      </c>
      <c r="U32" s="62" t="n">
        <f aca="false">INDEX(Train_In!$C$26:$E$26,U$7)</f>
        <v>4096</v>
      </c>
      <c r="V32" s="62" t="n">
        <f aca="false">INDEX(Train_In!$C$26:$E$26,V$7)</f>
        <v>8192</v>
      </c>
      <c r="W32" s="62" t="n">
        <f aca="false">INDEX(Train_In!$C$26:$E$26,W$7)</f>
        <v>4096</v>
      </c>
      <c r="X32" s="62" t="n">
        <f aca="false">INDEX(Train_In!$C$26:$E$26,X$7)</f>
        <v>8192</v>
      </c>
      <c r="Y32" s="62" t="n">
        <f aca="false">INDEX(Train_In!$C$26:$E$26,Y$7)</f>
        <v>4096</v>
      </c>
      <c r="Z32" s="62" t="n">
        <f aca="false">INDEX(Train_In!$C$26:$E$26,Z$7)</f>
        <v>8192</v>
      </c>
      <c r="AA32" s="62" t="n">
        <f aca="false">INDEX(Train_In!$C$26:$E$26,AA$7)</f>
        <v>4096</v>
      </c>
      <c r="AB32" s="62" t="n">
        <f aca="false">INDEX(Train_In!$C$26:$E$26,AB$7)</f>
        <v>8192</v>
      </c>
      <c r="AC32" s="62" t="n">
        <f aca="false">INDEX(Train_In!$C$26:$E$26,AC$7)</f>
        <v>4096</v>
      </c>
      <c r="AD32" s="62" t="n">
        <f aca="false">INDEX(Train_In!$C$26:$E$26,AD$7)</f>
        <v>8192</v>
      </c>
      <c r="AE32" s="62" t="n">
        <f aca="false">INDEX(Train_In!$C$26:$E$26,AE$7)</f>
        <v>4096</v>
      </c>
      <c r="AF32" s="62" t="n">
        <f aca="false">INDEX(Train_In!$C$26:$E$26,AF$7)</f>
        <v>8192</v>
      </c>
      <c r="AG32" s="62" t="n">
        <f aca="false">INDEX(Train_In!$C$26:$E$26,AG$7)</f>
        <v>4096</v>
      </c>
      <c r="AH32" s="62" t="n">
        <f aca="false">INDEX(Train_In!$C$26:$E$26,AH$7)</f>
        <v>8192</v>
      </c>
    </row>
    <row r="33" customFormat="false" ht="15" hidden="false" customHeight="false" outlineLevel="0" collapsed="false">
      <c r="A33" s="60" t="s">
        <v>1019</v>
      </c>
      <c r="B33" s="61" t="s">
        <v>292</v>
      </c>
      <c r="C33" s="67" t="n">
        <f aca="false">C32/2</f>
        <v>2048</v>
      </c>
      <c r="D33" s="67" t="n">
        <f aca="false">D32/2</f>
        <v>4096</v>
      </c>
      <c r="E33" s="67" t="n">
        <f aca="false">E32/2</f>
        <v>2048</v>
      </c>
      <c r="F33" s="67" t="n">
        <f aca="false">F32/2</f>
        <v>4096</v>
      </c>
      <c r="G33" s="67" t="n">
        <f aca="false">G32/2</f>
        <v>2048</v>
      </c>
      <c r="H33" s="67" t="n">
        <f aca="false">H32/2</f>
        <v>4096</v>
      </c>
      <c r="I33" s="67" t="n">
        <f aca="false">I32/2</f>
        <v>2048</v>
      </c>
      <c r="J33" s="67" t="n">
        <f aca="false">J32/2</f>
        <v>4096</v>
      </c>
      <c r="K33" s="67" t="n">
        <f aca="false">K32/2</f>
        <v>2048</v>
      </c>
      <c r="L33" s="67" t="n">
        <f aca="false">L32/2</f>
        <v>4096</v>
      </c>
      <c r="M33" s="67" t="n">
        <f aca="false">M32/2</f>
        <v>2048</v>
      </c>
      <c r="N33" s="67" t="n">
        <f aca="false">N32/2</f>
        <v>4096</v>
      </c>
      <c r="O33" s="67" t="n">
        <f aca="false">O32/2</f>
        <v>2048</v>
      </c>
      <c r="P33" s="67" t="n">
        <f aca="false">P32/2</f>
        <v>4096</v>
      </c>
      <c r="Q33" s="67" t="n">
        <f aca="false">Q32/2</f>
        <v>2048</v>
      </c>
      <c r="R33" s="67" t="n">
        <f aca="false">R32/2</f>
        <v>4096</v>
      </c>
      <c r="S33" s="67" t="n">
        <f aca="false">S32/2</f>
        <v>2048</v>
      </c>
      <c r="T33" s="67" t="n">
        <f aca="false">T32/2</f>
        <v>4096</v>
      </c>
      <c r="U33" s="67" t="n">
        <f aca="false">U32/2</f>
        <v>2048</v>
      </c>
      <c r="V33" s="67" t="n">
        <f aca="false">V32/2</f>
        <v>4096</v>
      </c>
      <c r="W33" s="67" t="n">
        <f aca="false">W32/2</f>
        <v>2048</v>
      </c>
      <c r="X33" s="67" t="n">
        <f aca="false">X32/2</f>
        <v>4096</v>
      </c>
      <c r="Y33" s="67" t="n">
        <f aca="false">Y32/2</f>
        <v>2048</v>
      </c>
      <c r="Z33" s="67" t="n">
        <f aca="false">Z32/2</f>
        <v>4096</v>
      </c>
      <c r="AA33" s="67" t="n">
        <f aca="false">AA32/2</f>
        <v>2048</v>
      </c>
      <c r="AB33" s="67" t="n">
        <f aca="false">AB32/2</f>
        <v>4096</v>
      </c>
      <c r="AC33" s="67" t="n">
        <f aca="false">AC32/2</f>
        <v>2048</v>
      </c>
      <c r="AD33" s="67" t="n">
        <f aca="false">AD32/2</f>
        <v>4096</v>
      </c>
      <c r="AE33" s="67" t="n">
        <f aca="false">AE32/2</f>
        <v>2048</v>
      </c>
      <c r="AF33" s="67" t="n">
        <f aca="false">AF32/2</f>
        <v>4096</v>
      </c>
      <c r="AG33" s="67" t="n">
        <f aca="false">AG32/2</f>
        <v>2048</v>
      </c>
      <c r="AH33" s="67" t="n">
        <f aca="false">AH32/2</f>
        <v>4096</v>
      </c>
    </row>
    <row r="34" customFormat="false" ht="15" hidden="false" customHeight="false" outlineLevel="0" collapsed="false">
      <c r="A34" s="60" t="s">
        <v>1020</v>
      </c>
      <c r="B34" s="61" t="s">
        <v>493</v>
      </c>
      <c r="C34" s="74" t="n">
        <f aca="false">3*(2*C22*1000000000+C23*C33)*C28/1000000000</f>
        <v>392.247376896</v>
      </c>
      <c r="D34" s="74" t="n">
        <f aca="false">3*(2*D22*1000000000+D23*D33)*D28/1000000000</f>
        <v>1140.3979776</v>
      </c>
      <c r="E34" s="74" t="n">
        <f aca="false">3*(2*E22*1000000000+E23*E33)*E28/1000000000</f>
        <v>392.247376896</v>
      </c>
      <c r="F34" s="74" t="n">
        <f aca="false">3*(2*F22*1000000000+F23*F33)*F28/1000000000</f>
        <v>1140.3979776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392.247376896</v>
      </c>
      <c r="J34" s="74" t="n">
        <f aca="false">3*(2*J22*1000000000+J23*J33)*J28/1000000000</f>
        <v>1140.3979776</v>
      </c>
      <c r="K34" s="74" t="n">
        <f aca="false">3*(2*K22*1000000000+K23*K33)*K28/1000000000</f>
        <v>392.247376896</v>
      </c>
      <c r="L34" s="74" t="n">
        <f aca="false">3*(2*L22*1000000000+L23*L33)*L28/1000000000</f>
        <v>1140.3979776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392.247376896</v>
      </c>
      <c r="P34" s="74" t="n">
        <f aca="false">3*(2*P22*1000000000+P23*P33)*P28/1000000000</f>
        <v>1140.3979776</v>
      </c>
      <c r="Q34" s="74" t="n">
        <f aca="false">3*(2*Q22*1000000000+Q23*Q33)*Q28/1000000000</f>
        <v>392.247376896</v>
      </c>
      <c r="R34" s="74" t="n">
        <f aca="false">3*(2*R22*1000000000+R23*R33)*R28/1000000000</f>
        <v>1140.3979776</v>
      </c>
      <c r="S34" s="74" t="n">
        <f aca="false">3*(2*S22*1000000000+S23*S33)*S28/1000000000</f>
        <v>392.247376896</v>
      </c>
      <c r="T34" s="74" t="n">
        <f aca="false">3*(2*T22*1000000000+T23*T33)*T28/1000000000</f>
        <v>1140.3979776</v>
      </c>
      <c r="U34" s="74" t="n">
        <f aca="false">3*(2*U22*1000000000+U23*U33)*U28/1000000000</f>
        <v>392.247376896</v>
      </c>
      <c r="V34" s="74" t="n">
        <f aca="false">3*(2*V22*1000000000+V23*V33)*V28/1000000000</f>
        <v>1140.3979776</v>
      </c>
      <c r="W34" s="74" t="n">
        <f aca="false">3*(2*W22*1000000000+W23*W33)*W28/1000000000</f>
        <v>392.247376896</v>
      </c>
      <c r="X34" s="74" t="n">
        <f aca="false">3*(2*X22*1000000000+X23*X33)*X28/1000000000</f>
        <v>1140.3979776</v>
      </c>
      <c r="Y34" s="74" t="n">
        <f aca="false">3*(2*Y22*1000000000+Y23*Y33)*Y28/1000000000</f>
        <v>392.247376896</v>
      </c>
      <c r="Z34" s="74" t="n">
        <f aca="false">3*(2*Z22*1000000000+Z23*Z33)*Z28/1000000000</f>
        <v>1140.3979776</v>
      </c>
      <c r="AA34" s="74" t="n">
        <f aca="false">3*(2*AA22*1000000000+AA23*AA33)*AA28/1000000000</f>
        <v>392.247376896</v>
      </c>
      <c r="AB34" s="74" t="n">
        <f aca="false">3*(2*AB22*1000000000+AB23*AB33)*AB28/1000000000</f>
        <v>1140.3979776</v>
      </c>
      <c r="AC34" s="74" t="n">
        <f aca="false">3*(2*AC22*1000000000+AC23*AC33)*AC28/1000000000</f>
        <v>392.247376896</v>
      </c>
      <c r="AD34" s="74" t="n">
        <f aca="false">3*(2*AD22*1000000000+AD23*AD33)*AD28/1000000000</f>
        <v>1140.3979776</v>
      </c>
      <c r="AE34" s="74" t="n">
        <f aca="false">3*(2*AE22*1000000000+AE23*AE33)*AE28/1000000000</f>
        <v>392.247376896</v>
      </c>
      <c r="AF34" s="74" t="n">
        <f aca="false">3*(2*AF22*1000000000+AF23*AF33)*AF28/1000000000</f>
        <v>1140.3979776</v>
      </c>
      <c r="AG34" s="74" t="n">
        <f aca="false">3*(2*AG22*1000000000+AG23*AG33)*AG28/1000000000</f>
        <v>392.247376896</v>
      </c>
      <c r="AH34" s="74" t="n">
        <f aca="false">3*(2*AH22*1000000000+AH23*AH33)*AH28/1000000000</f>
        <v>1140.3979776</v>
      </c>
    </row>
    <row r="35" customFormat="false" ht="15" hidden="false" customHeight="false" outlineLevel="0" collapsed="false">
      <c r="A35" s="60" t="s">
        <v>1021</v>
      </c>
      <c r="B35" s="61" t="s">
        <v>314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0" t="s">
        <v>1022</v>
      </c>
      <c r="B36" s="61" t="s">
        <v>1023</v>
      </c>
      <c r="C36" s="70" t="n">
        <f aca="false">C35/(C12*1000000000000000*C16*1*C17)/3600</f>
        <v>1014631.66275273</v>
      </c>
      <c r="D36" s="70" t="n">
        <f aca="false">D35/(D12*1000000000000000*D16*1*D17)/3600</f>
        <v>5363423.76296296</v>
      </c>
      <c r="E36" s="70" t="n">
        <f aca="false">E35/(E12*1000000000000000*E16*1*E17)/3600</f>
        <v>1691052.77125456</v>
      </c>
      <c r="F36" s="70" t="n">
        <f aca="false">F35/(F12*1000000000000000*F16*1*F17)/3600</f>
        <v>8939039.60493827</v>
      </c>
      <c r="G36" s="70" t="n">
        <f aca="false">G35/(G12*1000000000000000*G16*1*G17)/3600</f>
        <v>634144.789220458</v>
      </c>
      <c r="H36" s="70" t="n">
        <f aca="false">H35/(H12*1000000000000000*H16*1*H17)/3600</f>
        <v>3352139.85185185</v>
      </c>
      <c r="I36" s="70" t="n">
        <f aca="false">I35/(I12*1000000000000000*I16*1*I17)/3600</f>
        <v>507315.831376367</v>
      </c>
      <c r="J36" s="70" t="n">
        <f aca="false">J35/(J12*1000000000000000*J16*1*J17)/3600</f>
        <v>2681711.88148148</v>
      </c>
      <c r="K36" s="70" t="n">
        <f aca="false">K35/(K12*1000000000000000*K16*1*K17)/3600</f>
        <v>507315.831376367</v>
      </c>
      <c r="L36" s="70" t="n">
        <f aca="false">L35/(L12*1000000000000000*L16*1*L17)/3600</f>
        <v>2681711.88148148</v>
      </c>
      <c r="M36" s="70" t="n">
        <f aca="false">M35/(M12*1000000000000000*M16*1*M17)/3600</f>
        <v>1694434.87679707</v>
      </c>
      <c r="N36" s="70" t="n">
        <f aca="false">N35/(N12*1000000000000000*N16*1*N17)/3600</f>
        <v>8956917.68414815</v>
      </c>
      <c r="O36" s="70" t="n">
        <f aca="false">O35/(O12*1000000000000000*O16*1*O17)/3600</f>
        <v>1014631.66275273</v>
      </c>
      <c r="P36" s="70" t="n">
        <f aca="false">P35/(P12*1000000000000000*P16*1*P17)/3600</f>
        <v>5363423.76296296</v>
      </c>
      <c r="Q36" s="70" t="n">
        <f aca="false">Q35/(Q12*1000000000000000*Q16*1*Q17)/3600</f>
        <v>1014631.66275273</v>
      </c>
      <c r="R36" s="70" t="n">
        <f aca="false">R35/(R12*1000000000000000*R16*1*R17)/3600</f>
        <v>5363423.76296296</v>
      </c>
      <c r="S36" s="70" t="n">
        <f aca="false">S35/(S12*1000000000000000*S16*1*S17)/3600</f>
        <v>1014631.66275273</v>
      </c>
      <c r="T36" s="70" t="n">
        <f aca="false">T35/(T12*1000000000000000*T16*1*T17)/3600</f>
        <v>5363423.76296296</v>
      </c>
      <c r="U36" s="70" t="n">
        <f aca="false">U35/(U12*1000000000000000*U16*1*U17)/3600</f>
        <v>1014631.66275273</v>
      </c>
      <c r="V36" s="70" t="n">
        <f aca="false">V35/(V12*1000000000000000*V16*1*V17)/3600</f>
        <v>5363423.76296296</v>
      </c>
      <c r="W36" s="70" t="n">
        <f aca="false">W35/(W12*1000000000000000*W16*1*W17)/3600</f>
        <v>1014631.66275273</v>
      </c>
      <c r="X36" s="70" t="n">
        <f aca="false">X35/(X12*1000000000000000*X16*1*X17)/3600</f>
        <v>5363423.76296296</v>
      </c>
      <c r="Y36" s="70" t="n">
        <f aca="false">Y35/(Y12*1000000000000000*Y16*1*Y17)/3600</f>
        <v>1014631.66275273</v>
      </c>
      <c r="Z36" s="70" t="n">
        <f aca="false">Z35/(Z12*1000000000000000*Z16*1*Z17)/3600</f>
        <v>5363423.76296296</v>
      </c>
      <c r="AA36" s="70" t="n">
        <f aca="false">AA35/(AA12*1000000000000000*AA16*1*AA17)/3600</f>
        <v>1014631.66275273</v>
      </c>
      <c r="AB36" s="70" t="n">
        <f aca="false">AB35/(AB12*1000000000000000*AB16*1*AB17)/3600</f>
        <v>5363423.76296296</v>
      </c>
      <c r="AC36" s="70" t="n">
        <f aca="false">AC35/(AC12*1000000000000000*AC16*1*AC17)/3600</f>
        <v>1014631.66275273</v>
      </c>
      <c r="AD36" s="70" t="n">
        <f aca="false">AD35/(AD12*1000000000000000*AD16*1*AD17)/3600</f>
        <v>5363423.76296296</v>
      </c>
      <c r="AE36" s="70" t="n">
        <f aca="false">AE35/(AE12*1000000000000000*AE16*1*AE17)/3600</f>
        <v>1014631.66275273</v>
      </c>
      <c r="AF36" s="70" t="n">
        <f aca="false">AF35/(AF12*1000000000000000*AF16*1*AF17)/3600</f>
        <v>5363423.76296296</v>
      </c>
      <c r="AG36" s="70" t="n">
        <f aca="false">AG35/(AG12*1000000000000000*AG16*1*AG17)/3600</f>
        <v>1141460.62059683</v>
      </c>
      <c r="AH36" s="70" t="n">
        <f aca="false">AH35/(AH12*1000000000000000*AH16*1*AH17)/3600</f>
        <v>6033851.73333333</v>
      </c>
    </row>
    <row r="37" customFormat="false" ht="15" hidden="false" customHeight="false" outlineLevel="0" collapsed="false">
      <c r="A37" s="75" t="s">
        <v>1024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</row>
    <row r="38" customFormat="false" ht="15" hidden="false" customHeight="false" outlineLevel="0" collapsed="false">
      <c r="A38" s="60" t="s">
        <v>1025</v>
      </c>
      <c r="B38" s="61" t="s">
        <v>954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0" t="s">
        <v>1018</v>
      </c>
      <c r="B39" s="61" t="s">
        <v>292</v>
      </c>
      <c r="C39" s="62" t="n">
        <f aca="false">INDEX(Train_In!$C$28:$E$28,C$7)</f>
        <v>131072</v>
      </c>
      <c r="D39" s="62" t="n">
        <f aca="false">INDEX(Train_In!$C$28:$E$28,D$7)</f>
        <v>131072</v>
      </c>
      <c r="E39" s="62" t="n">
        <f aca="false">INDEX(Train_In!$C$28:$E$28,E$7)</f>
        <v>131072</v>
      </c>
      <c r="F39" s="62" t="n">
        <f aca="false">INDEX(Train_In!$C$28:$E$28,F$7)</f>
        <v>131072</v>
      </c>
      <c r="G39" s="62" t="n">
        <f aca="false">INDEX(Train_In!$C$28:$E$28,G$7)</f>
        <v>131072</v>
      </c>
      <c r="H39" s="62" t="n">
        <f aca="false">INDEX(Train_In!$C$28:$E$28,H$7)</f>
        <v>131072</v>
      </c>
      <c r="I39" s="62" t="n">
        <f aca="false">INDEX(Train_In!$C$28:$E$28,I$7)</f>
        <v>131072</v>
      </c>
      <c r="J39" s="62" t="n">
        <f aca="false">INDEX(Train_In!$C$28:$E$28,J$7)</f>
        <v>131072</v>
      </c>
      <c r="K39" s="62" t="n">
        <f aca="false">INDEX(Train_In!$C$28:$E$28,K$7)</f>
        <v>131072</v>
      </c>
      <c r="L39" s="62" t="n">
        <f aca="false">INDEX(Train_In!$C$28:$E$28,L$7)</f>
        <v>131072</v>
      </c>
      <c r="M39" s="62" t="n">
        <f aca="false">INDEX(Train_In!$C$28:$E$28,M$7)</f>
        <v>131072</v>
      </c>
      <c r="N39" s="62" t="n">
        <f aca="false">INDEX(Train_In!$C$28:$E$28,N$7)</f>
        <v>131072</v>
      </c>
      <c r="O39" s="62" t="n">
        <f aca="false">INDEX(Train_In!$C$28:$E$28,O$7)</f>
        <v>131072</v>
      </c>
      <c r="P39" s="62" t="n">
        <f aca="false">INDEX(Train_In!$C$28:$E$28,P$7)</f>
        <v>131072</v>
      </c>
      <c r="Q39" s="62" t="n">
        <f aca="false">INDEX(Train_In!$C$28:$E$28,Q$7)</f>
        <v>131072</v>
      </c>
      <c r="R39" s="62" t="n">
        <f aca="false">INDEX(Train_In!$C$28:$E$28,R$7)</f>
        <v>131072</v>
      </c>
      <c r="S39" s="62" t="n">
        <f aca="false">INDEX(Train_In!$C$28:$E$28,S$7)</f>
        <v>131072</v>
      </c>
      <c r="T39" s="62" t="n">
        <f aca="false">INDEX(Train_In!$C$28:$E$28,T$7)</f>
        <v>131072</v>
      </c>
      <c r="U39" s="62" t="n">
        <f aca="false">INDEX(Train_In!$C$28:$E$28,U$7)</f>
        <v>131072</v>
      </c>
      <c r="V39" s="62" t="n">
        <f aca="false">INDEX(Train_In!$C$28:$E$28,V$7)</f>
        <v>131072</v>
      </c>
      <c r="W39" s="62" t="n">
        <f aca="false">INDEX(Train_In!$C$28:$E$28,W$7)</f>
        <v>131072</v>
      </c>
      <c r="X39" s="62" t="n">
        <f aca="false">INDEX(Train_In!$C$28:$E$28,X$7)</f>
        <v>131072</v>
      </c>
      <c r="Y39" s="62" t="n">
        <f aca="false">INDEX(Train_In!$C$28:$E$28,Y$7)</f>
        <v>131072</v>
      </c>
      <c r="Z39" s="62" t="n">
        <f aca="false">INDEX(Train_In!$C$28:$E$28,Z$7)</f>
        <v>131072</v>
      </c>
      <c r="AA39" s="62" t="n">
        <f aca="false">INDEX(Train_In!$C$28:$E$28,AA$7)</f>
        <v>131072</v>
      </c>
      <c r="AB39" s="62" t="n">
        <f aca="false">INDEX(Train_In!$C$28:$E$28,AB$7)</f>
        <v>131072</v>
      </c>
      <c r="AC39" s="62" t="n">
        <f aca="false">INDEX(Train_In!$C$28:$E$28,AC$7)</f>
        <v>131072</v>
      </c>
      <c r="AD39" s="62" t="n">
        <f aca="false">INDEX(Train_In!$C$28:$E$28,AD$7)</f>
        <v>131072</v>
      </c>
      <c r="AE39" s="62" t="n">
        <f aca="false">INDEX(Train_In!$C$28:$E$28,AE$7)</f>
        <v>131072</v>
      </c>
      <c r="AF39" s="62" t="n">
        <f aca="false">INDEX(Train_In!$C$28:$E$28,AF$7)</f>
        <v>131072</v>
      </c>
      <c r="AG39" s="62" t="n">
        <f aca="false">INDEX(Train_In!$C$28:$E$28,AG$7)</f>
        <v>131072</v>
      </c>
      <c r="AH39" s="62" t="n">
        <f aca="false">INDEX(Train_In!$C$28:$E$28,AH$7)</f>
        <v>131072</v>
      </c>
    </row>
    <row r="40" customFormat="false" ht="15" hidden="false" customHeight="false" outlineLevel="0" collapsed="false">
      <c r="A40" s="60" t="s">
        <v>1026</v>
      </c>
      <c r="B40" s="61" t="s">
        <v>292</v>
      </c>
      <c r="C40" s="67" t="n">
        <f aca="false">C24*IF(C25=0,C39/2,MIN(C39/2,C25))+(1-C24)*(C39/2/C26+C27)</f>
        <v>2403.328</v>
      </c>
      <c r="D40" s="67" t="n">
        <f aca="false">D24*IF(D25=0,D39/2,MIN(D39/2,D25))+(1-D24)*(D39/2/D26+D27)</f>
        <v>65536</v>
      </c>
      <c r="E40" s="67" t="n">
        <f aca="false">E24*IF(E25=0,E39/2,MIN(E39/2,E25))+(1-E24)*(E39/2/E26+E27)</f>
        <v>2403.328</v>
      </c>
      <c r="F40" s="67" t="n">
        <f aca="false">F24*IF(F25=0,F39/2,MIN(F39/2,F25))+(1-F24)*(F39/2/F26+F27)</f>
        <v>65536</v>
      </c>
      <c r="G40" s="67" t="n">
        <f aca="false">G24*IF(G25=0,G39/2,MIN(G39/2,G25))+(1-G24)*(G39/2/G26+G27)</f>
        <v>2403.328</v>
      </c>
      <c r="H40" s="67" t="n">
        <f aca="false">H24*IF(H25=0,H39/2,MIN(H39/2,H25))+(1-H24)*(H39/2/H26+H27)</f>
        <v>65536</v>
      </c>
      <c r="I40" s="67" t="n">
        <f aca="false">I24*IF(I25=0,I39/2,MIN(I39/2,I25))+(1-I24)*(I39/2/I26+I27)</f>
        <v>2403.328</v>
      </c>
      <c r="J40" s="67" t="n">
        <f aca="false">J24*IF(J25=0,J39/2,MIN(J39/2,J25))+(1-J24)*(J39/2/J26+J27)</f>
        <v>65536</v>
      </c>
      <c r="K40" s="67" t="n">
        <f aca="false">K24*IF(K25=0,K39/2,MIN(K39/2,K25))+(1-K24)*(K39/2/K26+K27)</f>
        <v>2403.328</v>
      </c>
      <c r="L40" s="67" t="n">
        <f aca="false">L24*IF(L25=0,L39/2,MIN(L39/2,L25))+(1-L24)*(L39/2/L26+L27)</f>
        <v>65536</v>
      </c>
      <c r="M40" s="67" t="n">
        <f aca="false">M24*IF(M25=0,M39/2,MIN(M39/2,M25))+(1-M24)*(M39/2/M26+M27)</f>
        <v>2403.328</v>
      </c>
      <c r="N40" s="67" t="n">
        <f aca="false">N24*IF(N25=0,N39/2,MIN(N39/2,N25))+(1-N24)*(N39/2/N26+N27)</f>
        <v>65536</v>
      </c>
      <c r="O40" s="67" t="n">
        <f aca="false">O24*IF(O25=0,O39/2,MIN(O39/2,O25))+(1-O24)*(O39/2/O26+O27)</f>
        <v>2403.328</v>
      </c>
      <c r="P40" s="67" t="n">
        <f aca="false">P24*IF(P25=0,P39/2,MIN(P39/2,P25))+(1-P24)*(P39/2/P26+P27)</f>
        <v>65536</v>
      </c>
      <c r="Q40" s="67" t="n">
        <f aca="false">Q24*IF(Q25=0,Q39/2,MIN(Q39/2,Q25))+(1-Q24)*(Q39/2/Q26+Q27)</f>
        <v>2403.328</v>
      </c>
      <c r="R40" s="67" t="n">
        <f aca="false">R24*IF(R25=0,R39/2,MIN(R39/2,R25))+(1-R24)*(R39/2/R26+R27)</f>
        <v>65536</v>
      </c>
      <c r="S40" s="67" t="n">
        <f aca="false">S24*IF(S25=0,S39/2,MIN(S39/2,S25))+(1-S24)*(S39/2/S26+S27)</f>
        <v>2403.328</v>
      </c>
      <c r="T40" s="67" t="n">
        <f aca="false">T24*IF(T25=0,T39/2,MIN(T39/2,T25))+(1-T24)*(T39/2/T26+T27)</f>
        <v>65536</v>
      </c>
      <c r="U40" s="67" t="n">
        <f aca="false">U24*IF(U25=0,U39/2,MIN(U39/2,U25))+(1-U24)*(U39/2/U26+U27)</f>
        <v>2403.328</v>
      </c>
      <c r="V40" s="67" t="n">
        <f aca="false">V24*IF(V25=0,V39/2,MIN(V39/2,V25))+(1-V24)*(V39/2/V26+V27)</f>
        <v>65536</v>
      </c>
      <c r="W40" s="67" t="n">
        <f aca="false">W24*IF(W25=0,W39/2,MIN(W39/2,W25))+(1-W24)*(W39/2/W26+W27)</f>
        <v>2403.328</v>
      </c>
      <c r="X40" s="67" t="n">
        <f aca="false">X24*IF(X25=0,X39/2,MIN(X39/2,X25))+(1-X24)*(X39/2/X26+X27)</f>
        <v>65536</v>
      </c>
      <c r="Y40" s="67" t="n">
        <f aca="false">Y24*IF(Y25=0,Y39/2,MIN(Y39/2,Y25))+(1-Y24)*(Y39/2/Y26+Y27)</f>
        <v>2403.328</v>
      </c>
      <c r="Z40" s="67" t="n">
        <f aca="false">Z24*IF(Z25=0,Z39/2,MIN(Z39/2,Z25))+(1-Z24)*(Z39/2/Z26+Z27)</f>
        <v>65536</v>
      </c>
      <c r="AA40" s="67" t="n">
        <f aca="false">AA24*IF(AA25=0,AA39/2,MIN(AA39/2,AA25))+(1-AA24)*(AA39/2/AA26+AA27)</f>
        <v>2403.328</v>
      </c>
      <c r="AB40" s="67" t="n">
        <f aca="false">AB24*IF(AB25=0,AB39/2,MIN(AB39/2,AB25))+(1-AB24)*(AB39/2/AB26+AB27)</f>
        <v>65536</v>
      </c>
      <c r="AC40" s="67" t="n">
        <f aca="false">AC24*IF(AC25=0,AC39/2,MIN(AC39/2,AC25))+(1-AC24)*(AC39/2/AC26+AC27)</f>
        <v>2403.328</v>
      </c>
      <c r="AD40" s="67" t="n">
        <f aca="false">AD24*IF(AD25=0,AD39/2,MIN(AD39/2,AD25))+(1-AD24)*(AD39/2/AD26+AD27)</f>
        <v>65536</v>
      </c>
      <c r="AE40" s="67" t="n">
        <f aca="false">AE24*IF(AE25=0,AE39/2,MIN(AE39/2,AE25))+(1-AE24)*(AE39/2/AE26+AE27)</f>
        <v>2403.328</v>
      </c>
      <c r="AF40" s="67" t="n">
        <f aca="false">AF24*IF(AF25=0,AF39/2,MIN(AF39/2,AF25))+(1-AF24)*(AF39/2/AF26+AF27)</f>
        <v>65536</v>
      </c>
      <c r="AG40" s="67" t="n">
        <f aca="false">AG24*IF(AG25=0,AG39/2,MIN(AG39/2,AG25))+(1-AG24)*(AG39/2/AG26+AG27)</f>
        <v>2403.328</v>
      </c>
      <c r="AH40" s="67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0" t="s">
        <v>1020</v>
      </c>
      <c r="B41" s="61" t="s">
        <v>493</v>
      </c>
      <c r="C41" s="74" t="n">
        <f aca="false">3*(2*C22*1000000000+C23*C40)*C28/1000000000</f>
        <v>409.293296787456</v>
      </c>
      <c r="D41" s="74" t="n">
        <f aca="false">3*(2*D22*1000000000+D23*D40)*D28/1000000000</f>
        <v>2046.3676416</v>
      </c>
      <c r="E41" s="74" t="n">
        <f aca="false">3*(2*E22*1000000000+E23*E40)*E28/1000000000</f>
        <v>409.293296787456</v>
      </c>
      <c r="F41" s="74" t="n">
        <f aca="false">3*(2*F22*1000000000+F23*F40)*F28/1000000000</f>
        <v>2046.3676416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409.293296787456</v>
      </c>
      <c r="J41" s="74" t="n">
        <f aca="false">3*(2*J22*1000000000+J23*J40)*J28/1000000000</f>
        <v>2046.3676416</v>
      </c>
      <c r="K41" s="74" t="n">
        <f aca="false">3*(2*K22*1000000000+K23*K40)*K28/1000000000</f>
        <v>409.293296787456</v>
      </c>
      <c r="L41" s="74" t="n">
        <f aca="false">3*(2*L22*1000000000+L23*L40)*L28/1000000000</f>
        <v>2046.3676416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409.293296787456</v>
      </c>
      <c r="P41" s="74" t="n">
        <f aca="false">3*(2*P22*1000000000+P23*P40)*P28/1000000000</f>
        <v>2046.3676416</v>
      </c>
      <c r="Q41" s="74" t="n">
        <f aca="false">3*(2*Q22*1000000000+Q23*Q40)*Q28/1000000000</f>
        <v>409.293296787456</v>
      </c>
      <c r="R41" s="74" t="n">
        <f aca="false">3*(2*R22*1000000000+R23*R40)*R28/1000000000</f>
        <v>2046.3676416</v>
      </c>
      <c r="S41" s="74" t="n">
        <f aca="false">3*(2*S22*1000000000+S23*S40)*S28/1000000000</f>
        <v>409.293296787456</v>
      </c>
      <c r="T41" s="74" t="n">
        <f aca="false">3*(2*T22*1000000000+T23*T40)*T28/1000000000</f>
        <v>2046.3676416</v>
      </c>
      <c r="U41" s="74" t="n">
        <f aca="false">3*(2*U22*1000000000+U23*U40)*U28/1000000000</f>
        <v>409.293296787456</v>
      </c>
      <c r="V41" s="74" t="n">
        <f aca="false">3*(2*V22*1000000000+V23*V40)*V28/1000000000</f>
        <v>2046.3676416</v>
      </c>
      <c r="W41" s="74" t="n">
        <f aca="false">3*(2*W22*1000000000+W23*W40)*W28/1000000000</f>
        <v>409.293296787456</v>
      </c>
      <c r="X41" s="74" t="n">
        <f aca="false">3*(2*X22*1000000000+X23*X40)*X28/1000000000</f>
        <v>2046.3676416</v>
      </c>
      <c r="Y41" s="74" t="n">
        <f aca="false">3*(2*Y22*1000000000+Y23*Y40)*Y28/1000000000</f>
        <v>409.293296787456</v>
      </c>
      <c r="Z41" s="74" t="n">
        <f aca="false">3*(2*Z22*1000000000+Z23*Z40)*Z28/1000000000</f>
        <v>2046.3676416</v>
      </c>
      <c r="AA41" s="74" t="n">
        <f aca="false">3*(2*AA22*1000000000+AA23*AA40)*AA28/1000000000</f>
        <v>409.293296787456</v>
      </c>
      <c r="AB41" s="74" t="n">
        <f aca="false">3*(2*AB22*1000000000+AB23*AB40)*AB28/1000000000</f>
        <v>2046.3676416</v>
      </c>
      <c r="AC41" s="74" t="n">
        <f aca="false">3*(2*AC22*1000000000+AC23*AC40)*AC28/1000000000</f>
        <v>409.293296787456</v>
      </c>
      <c r="AD41" s="74" t="n">
        <f aca="false">3*(2*AD22*1000000000+AD23*AD40)*AD28/1000000000</f>
        <v>2046.3676416</v>
      </c>
      <c r="AE41" s="74" t="n">
        <f aca="false">3*(2*AE22*1000000000+AE23*AE40)*AE28/1000000000</f>
        <v>409.293296787456</v>
      </c>
      <c r="AF41" s="74" t="n">
        <f aca="false">3*(2*AF22*1000000000+AF23*AF40)*AF28/1000000000</f>
        <v>2046.3676416</v>
      </c>
      <c r="AG41" s="74" t="n">
        <f aca="false">3*(2*AG22*1000000000+AG23*AG40)*AG28/1000000000</f>
        <v>409.293296787456</v>
      </c>
      <c r="AH41" s="74" t="n">
        <f aca="false">3*(2*AH22*1000000000+AH23*AH40)*AH28/1000000000</f>
        <v>2046.3676416</v>
      </c>
    </row>
    <row r="42" customFormat="false" ht="15" hidden="false" customHeight="false" outlineLevel="0" collapsed="false">
      <c r="A42" s="60" t="s">
        <v>1027</v>
      </c>
      <c r="B42" s="61" t="s">
        <v>314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0" t="s">
        <v>1028</v>
      </c>
      <c r="B43" s="61" t="s">
        <v>1023</v>
      </c>
      <c r="C43" s="67" t="n">
        <f aca="false">C42/(C12*1000000000000000*C16*1*C17)/3600</f>
        <v>32082.5629463027</v>
      </c>
      <c r="D43" s="67" t="n">
        <f aca="false">D42/(D12*1000000000000000*D16*1*D17)/3600</f>
        <v>320810.133897707</v>
      </c>
      <c r="E43" s="67" t="n">
        <f aca="false">E42/(E12*1000000000000000*E16*1*E17)/3600</f>
        <v>53470.9382438378</v>
      </c>
      <c r="F43" s="67" t="n">
        <f aca="false">F42/(F12*1000000000000000*F16*1*F17)/3600</f>
        <v>534683.556496179</v>
      </c>
      <c r="G43" s="67" t="n">
        <f aca="false">G42/(G12*1000000000000000*G16*1*G17)/3600</f>
        <v>20051.6018414392</v>
      </c>
      <c r="H43" s="67" t="n">
        <f aca="false">H42/(H12*1000000000000000*H16*1*H17)/3600</f>
        <v>200506.333686067</v>
      </c>
      <c r="I43" s="67" t="n">
        <f aca="false">I42/(I12*1000000000000000*I16*1*I17)/3600</f>
        <v>16041.2814731513</v>
      </c>
      <c r="J43" s="67" t="n">
        <f aca="false">J42/(J12*1000000000000000*J16*1*J17)/3600</f>
        <v>160405.066948854</v>
      </c>
      <c r="K43" s="67" t="n">
        <f aca="false">K42/(K12*1000000000000000*K16*1*K17)/3600</f>
        <v>32082.5629463027</v>
      </c>
      <c r="L43" s="67" t="n">
        <f aca="false">L42/(L12*1000000000000000*L16*1*L17)/3600</f>
        <v>320810.133897707</v>
      </c>
      <c r="M43" s="67" t="n">
        <f aca="false">M42/(M12*1000000000000000*M16*1*M17)/3600</f>
        <v>32082.5629463027</v>
      </c>
      <c r="N43" s="67" t="n">
        <f aca="false">N42/(N12*1000000000000000*N16*1*N17)/3600</f>
        <v>320810.133897707</v>
      </c>
      <c r="O43" s="67" t="n">
        <f aca="false">O42/(O12*1000000000000000*O16*1*O17)/3600</f>
        <v>32082.5629463027</v>
      </c>
      <c r="P43" s="67" t="n">
        <f aca="false">P42/(P12*1000000000000000*P16*1*P17)/3600</f>
        <v>320810.133897707</v>
      </c>
      <c r="Q43" s="67" t="n">
        <f aca="false">Q42/(Q12*1000000000000000*Q16*1*Q17)/3600</f>
        <v>32082.5629463027</v>
      </c>
      <c r="R43" s="67" t="n">
        <f aca="false">R42/(R12*1000000000000000*R16*1*R17)/3600</f>
        <v>320810.133897707</v>
      </c>
      <c r="S43" s="67" t="n">
        <f aca="false">S42/(S12*1000000000000000*S16*1*S17)/3600</f>
        <v>32082.5629463027</v>
      </c>
      <c r="T43" s="67" t="n">
        <f aca="false">T42/(T12*1000000000000000*T16*1*T17)/3600</f>
        <v>320810.133897707</v>
      </c>
      <c r="U43" s="67" t="n">
        <f aca="false">U42/(U12*1000000000000000*U16*1*U17)/3600</f>
        <v>32082.5629463027</v>
      </c>
      <c r="V43" s="67" t="n">
        <f aca="false">V42/(V12*1000000000000000*V16*1*V17)/3600</f>
        <v>320810.133897707</v>
      </c>
      <c r="W43" s="67" t="n">
        <f aca="false">W42/(W12*1000000000000000*W16*1*W17)/3600</f>
        <v>32082.5629463027</v>
      </c>
      <c r="X43" s="67" t="n">
        <f aca="false">X42/(X12*1000000000000000*X16*1*X17)/3600</f>
        <v>320810.133897707</v>
      </c>
      <c r="Y43" s="67" t="n">
        <f aca="false">Y42/(Y12*1000000000000000*Y16*1*Y17)/3600</f>
        <v>32082.5629463027</v>
      </c>
      <c r="Z43" s="67" t="n">
        <f aca="false">Z42/(Z12*1000000000000000*Z16*1*Z17)/3600</f>
        <v>320810.133897707</v>
      </c>
      <c r="AA43" s="67" t="n">
        <f aca="false">AA42/(AA12*1000000000000000*AA16*1*AA17)/3600</f>
        <v>32082.5629463027</v>
      </c>
      <c r="AB43" s="67" t="n">
        <f aca="false">AB42/(AB12*1000000000000000*AB16*1*AB17)/3600</f>
        <v>320810.133897707</v>
      </c>
      <c r="AC43" s="67" t="n">
        <f aca="false">AC42/(AC12*1000000000000000*AC16*1*AC17)/3600</f>
        <v>32082.5629463027</v>
      </c>
      <c r="AD43" s="67" t="n">
        <f aca="false">AD42/(AD12*1000000000000000*AD16*1*AD17)/3600</f>
        <v>320810.133897707</v>
      </c>
      <c r="AE43" s="67" t="n">
        <f aca="false">AE42/(AE12*1000000000000000*AE16*1*AE17)/3600</f>
        <v>32082.5629463027</v>
      </c>
      <c r="AF43" s="67" t="n">
        <f aca="false">AF42/(AF12*1000000000000000*AF16*1*AF17)/3600</f>
        <v>320810.133897707</v>
      </c>
      <c r="AG43" s="67" t="n">
        <f aca="false">AG42/(AG12*1000000000000000*AG16*1*AG17)/3600</f>
        <v>36092.8833145905</v>
      </c>
      <c r="AH43" s="67" t="n">
        <f aca="false">AH42/(AH12*1000000000000000*AH16*1*AH17)/3600</f>
        <v>360911.400634921</v>
      </c>
    </row>
    <row r="44" customFormat="false" ht="15" hidden="false" customHeight="false" outlineLevel="0" collapsed="false">
      <c r="A44" s="75" t="s">
        <v>1029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</row>
    <row r="45" customFormat="false" ht="15" hidden="false" customHeight="false" outlineLevel="0" collapsed="false">
      <c r="A45" s="61" t="s">
        <v>961</v>
      </c>
      <c r="B45" s="61" t="s">
        <v>954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0" t="s">
        <v>1018</v>
      </c>
      <c r="B46" s="61" t="s">
        <v>292</v>
      </c>
      <c r="C46" s="62" t="n">
        <f aca="false">INDEX(Train_In!$C$30:$E$30,C$7)</f>
        <v>16384</v>
      </c>
      <c r="D46" s="62" t="n">
        <f aca="false">INDEX(Train_In!$C$30:$E$30,D$7)</f>
        <v>16384</v>
      </c>
      <c r="E46" s="62" t="n">
        <f aca="false">INDEX(Train_In!$C$30:$E$30,E$7)</f>
        <v>16384</v>
      </c>
      <c r="F46" s="62" t="n">
        <f aca="false">INDEX(Train_In!$C$30:$E$30,F$7)</f>
        <v>16384</v>
      </c>
      <c r="G46" s="62" t="n">
        <f aca="false">INDEX(Train_In!$C$30:$E$30,G$7)</f>
        <v>16384</v>
      </c>
      <c r="H46" s="62" t="n">
        <f aca="false">INDEX(Train_In!$C$30:$E$30,H$7)</f>
        <v>16384</v>
      </c>
      <c r="I46" s="62" t="n">
        <f aca="false">INDEX(Train_In!$C$30:$E$30,I$7)</f>
        <v>16384</v>
      </c>
      <c r="J46" s="62" t="n">
        <f aca="false">INDEX(Train_In!$C$30:$E$30,J$7)</f>
        <v>16384</v>
      </c>
      <c r="K46" s="62" t="n">
        <f aca="false">INDEX(Train_In!$C$30:$E$30,K$7)</f>
        <v>16384</v>
      </c>
      <c r="L46" s="62" t="n">
        <f aca="false">INDEX(Train_In!$C$30:$E$30,L$7)</f>
        <v>16384</v>
      </c>
      <c r="M46" s="62" t="n">
        <f aca="false">INDEX(Train_In!$C$30:$E$30,M$7)</f>
        <v>16384</v>
      </c>
      <c r="N46" s="62" t="n">
        <f aca="false">INDEX(Train_In!$C$30:$E$30,N$7)</f>
        <v>16384</v>
      </c>
      <c r="O46" s="62" t="n">
        <f aca="false">INDEX(Train_In!$C$30:$E$30,O$7)</f>
        <v>16384</v>
      </c>
      <c r="P46" s="62" t="n">
        <f aca="false">INDEX(Train_In!$C$30:$E$30,P$7)</f>
        <v>16384</v>
      </c>
      <c r="Q46" s="62" t="n">
        <f aca="false">INDEX(Train_In!$C$30:$E$30,Q$7)</f>
        <v>16384</v>
      </c>
      <c r="R46" s="62" t="n">
        <f aca="false">INDEX(Train_In!$C$30:$E$30,R$7)</f>
        <v>16384</v>
      </c>
      <c r="S46" s="62" t="n">
        <f aca="false">INDEX(Train_In!$C$30:$E$30,S$7)</f>
        <v>16384</v>
      </c>
      <c r="T46" s="62" t="n">
        <f aca="false">INDEX(Train_In!$C$30:$E$30,T$7)</f>
        <v>16384</v>
      </c>
      <c r="U46" s="62" t="n">
        <f aca="false">INDEX(Train_In!$C$30:$E$30,U$7)</f>
        <v>16384</v>
      </c>
      <c r="V46" s="62" t="n">
        <f aca="false">INDEX(Train_In!$C$30:$E$30,V$7)</f>
        <v>16384</v>
      </c>
      <c r="W46" s="62" t="n">
        <f aca="false">INDEX(Train_In!$C$30:$E$30,W$7)</f>
        <v>16384</v>
      </c>
      <c r="X46" s="62" t="n">
        <f aca="false">INDEX(Train_In!$C$30:$E$30,X$7)</f>
        <v>16384</v>
      </c>
      <c r="Y46" s="62" t="n">
        <f aca="false">INDEX(Train_In!$C$30:$E$30,Y$7)</f>
        <v>16384</v>
      </c>
      <c r="Z46" s="62" t="n">
        <f aca="false">INDEX(Train_In!$C$30:$E$30,Z$7)</f>
        <v>16384</v>
      </c>
      <c r="AA46" s="62" t="n">
        <f aca="false">INDEX(Train_In!$C$30:$E$30,AA$7)</f>
        <v>16384</v>
      </c>
      <c r="AB46" s="62" t="n">
        <f aca="false">INDEX(Train_In!$C$30:$E$30,AB$7)</f>
        <v>16384</v>
      </c>
      <c r="AC46" s="62" t="n">
        <f aca="false">INDEX(Train_In!$C$30:$E$30,AC$7)</f>
        <v>16384</v>
      </c>
      <c r="AD46" s="62" t="n">
        <f aca="false">INDEX(Train_In!$C$30:$E$30,AD$7)</f>
        <v>16384</v>
      </c>
      <c r="AE46" s="62" t="n">
        <f aca="false">INDEX(Train_In!$C$30:$E$30,AE$7)</f>
        <v>16384</v>
      </c>
      <c r="AF46" s="62" t="n">
        <f aca="false">INDEX(Train_In!$C$30:$E$30,AF$7)</f>
        <v>16384</v>
      </c>
      <c r="AG46" s="62" t="n">
        <f aca="false">INDEX(Train_In!$C$30:$E$30,AG$7)</f>
        <v>16384</v>
      </c>
      <c r="AH46" s="62" t="n">
        <f aca="false">INDEX(Train_In!$C$30:$E$30,AH$7)</f>
        <v>16384</v>
      </c>
    </row>
    <row r="47" customFormat="false" ht="15" hidden="false" customHeight="false" outlineLevel="0" collapsed="false">
      <c r="A47" s="60" t="s">
        <v>1026</v>
      </c>
      <c r="B47" s="61" t="s">
        <v>292</v>
      </c>
      <c r="C47" s="67" t="n">
        <f aca="false">C24*IF(C25=0,C46/2,MIN(C46/2,C25))+(1-C24)*(C46/2/C26+C27)</f>
        <v>2175.744</v>
      </c>
      <c r="D47" s="67" t="n">
        <f aca="false">D24*IF(D25=0,D46/2,MIN(D46/2,D25))+(1-D24)*(D46/2/D26+D27)</f>
        <v>8192</v>
      </c>
      <c r="E47" s="67" t="n">
        <f aca="false">E24*IF(E25=0,E46/2,MIN(E46/2,E25))+(1-E24)*(E46/2/E26+E27)</f>
        <v>2175.744</v>
      </c>
      <c r="F47" s="67" t="n">
        <f aca="false">F24*IF(F25=0,F46/2,MIN(F46/2,F25))+(1-F24)*(F46/2/F26+F27)</f>
        <v>8192</v>
      </c>
      <c r="G47" s="67" t="n">
        <f aca="false">G24*IF(G25=0,G46/2,MIN(G46/2,G25))+(1-G24)*(G46/2/G26+G27)</f>
        <v>2175.744</v>
      </c>
      <c r="H47" s="67" t="n">
        <f aca="false">H24*IF(H25=0,H46/2,MIN(H46/2,H25))+(1-H24)*(H46/2/H26+H27)</f>
        <v>8192</v>
      </c>
      <c r="I47" s="67" t="n">
        <f aca="false">I24*IF(I25=0,I46/2,MIN(I46/2,I25))+(1-I24)*(I46/2/I26+I27)</f>
        <v>2175.744</v>
      </c>
      <c r="J47" s="67" t="n">
        <f aca="false">J24*IF(J25=0,J46/2,MIN(J46/2,J25))+(1-J24)*(J46/2/J26+J27)</f>
        <v>8192</v>
      </c>
      <c r="K47" s="67" t="n">
        <f aca="false">K24*IF(K25=0,K46/2,MIN(K46/2,K25))+(1-K24)*(K46/2/K26+K27)</f>
        <v>2175.744</v>
      </c>
      <c r="L47" s="67" t="n">
        <f aca="false">L24*IF(L25=0,L46/2,MIN(L46/2,L25))+(1-L24)*(L46/2/L26+L27)</f>
        <v>8192</v>
      </c>
      <c r="M47" s="67" t="n">
        <f aca="false">M24*IF(M25=0,M46/2,MIN(M46/2,M25))+(1-M24)*(M46/2/M26+M27)</f>
        <v>2175.744</v>
      </c>
      <c r="N47" s="67" t="n">
        <f aca="false">N24*IF(N25=0,N46/2,MIN(N46/2,N25))+(1-N24)*(N46/2/N26+N27)</f>
        <v>8192</v>
      </c>
      <c r="O47" s="67" t="n">
        <f aca="false">O24*IF(O25=0,O46/2,MIN(O46/2,O25))+(1-O24)*(O46/2/O26+O27)</f>
        <v>2175.744</v>
      </c>
      <c r="P47" s="67" t="n">
        <f aca="false">P24*IF(P25=0,P46/2,MIN(P46/2,P25))+(1-P24)*(P46/2/P26+P27)</f>
        <v>8192</v>
      </c>
      <c r="Q47" s="67" t="n">
        <f aca="false">Q24*IF(Q25=0,Q46/2,MIN(Q46/2,Q25))+(1-Q24)*(Q46/2/Q26+Q27)</f>
        <v>2175.744</v>
      </c>
      <c r="R47" s="67" t="n">
        <f aca="false">R24*IF(R25=0,R46/2,MIN(R46/2,R25))+(1-R24)*(R46/2/R26+R27)</f>
        <v>8192</v>
      </c>
      <c r="S47" s="67" t="n">
        <f aca="false">S24*IF(S25=0,S46/2,MIN(S46/2,S25))+(1-S24)*(S46/2/S26+S27)</f>
        <v>2175.744</v>
      </c>
      <c r="T47" s="67" t="n">
        <f aca="false">T24*IF(T25=0,T46/2,MIN(T46/2,T25))+(1-T24)*(T46/2/T26+T27)</f>
        <v>8192</v>
      </c>
      <c r="U47" s="67" t="n">
        <f aca="false">U24*IF(U25=0,U46/2,MIN(U46/2,U25))+(1-U24)*(U46/2/U26+U27)</f>
        <v>2175.744</v>
      </c>
      <c r="V47" s="67" t="n">
        <f aca="false">V24*IF(V25=0,V46/2,MIN(V46/2,V25))+(1-V24)*(V46/2/V26+V27)</f>
        <v>8192</v>
      </c>
      <c r="W47" s="67" t="n">
        <f aca="false">W24*IF(W25=0,W46/2,MIN(W46/2,W25))+(1-W24)*(W46/2/W26+W27)</f>
        <v>2175.744</v>
      </c>
      <c r="X47" s="67" t="n">
        <f aca="false">X24*IF(X25=0,X46/2,MIN(X46/2,X25))+(1-X24)*(X46/2/X26+X27)</f>
        <v>8192</v>
      </c>
      <c r="Y47" s="67" t="n">
        <f aca="false">Y24*IF(Y25=0,Y46/2,MIN(Y46/2,Y25))+(1-Y24)*(Y46/2/Y26+Y27)</f>
        <v>2175.744</v>
      </c>
      <c r="Z47" s="67" t="n">
        <f aca="false">Z24*IF(Z25=0,Z46/2,MIN(Z46/2,Z25))+(1-Z24)*(Z46/2/Z26+Z27)</f>
        <v>8192</v>
      </c>
      <c r="AA47" s="67" t="n">
        <f aca="false">AA24*IF(AA25=0,AA46/2,MIN(AA46/2,AA25))+(1-AA24)*(AA46/2/AA26+AA27)</f>
        <v>2175.744</v>
      </c>
      <c r="AB47" s="67" t="n">
        <f aca="false">AB24*IF(AB25=0,AB46/2,MIN(AB46/2,AB25))+(1-AB24)*(AB46/2/AB26+AB27)</f>
        <v>8192</v>
      </c>
      <c r="AC47" s="67" t="n">
        <f aca="false">AC24*IF(AC25=0,AC46/2,MIN(AC46/2,AC25))+(1-AC24)*(AC46/2/AC26+AC27)</f>
        <v>2175.744</v>
      </c>
      <c r="AD47" s="67" t="n">
        <f aca="false">AD24*IF(AD25=0,AD46/2,MIN(AD46/2,AD25))+(1-AD24)*(AD46/2/AD26+AD27)</f>
        <v>8192</v>
      </c>
      <c r="AE47" s="67" t="n">
        <f aca="false">AE24*IF(AE25=0,AE46/2,MIN(AE46/2,AE25))+(1-AE24)*(AE46/2/AE26+AE27)</f>
        <v>2175.744</v>
      </c>
      <c r="AF47" s="67" t="n">
        <f aca="false">AF24*IF(AF25=0,AF46/2,MIN(AF46/2,AF25))+(1-AF24)*(AF46/2/AF26+AF27)</f>
        <v>8192</v>
      </c>
      <c r="AG47" s="67" t="n">
        <f aca="false">AG24*IF(AG25=0,AG46/2,MIN(AG46/2,AG25))+(1-AG24)*(AG46/2/AG26+AG27)</f>
        <v>2175.744</v>
      </c>
      <c r="AH47" s="67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0" t="s">
        <v>1020</v>
      </c>
      <c r="B48" s="61" t="s">
        <v>493</v>
      </c>
      <c r="C48" s="74" t="n">
        <f aca="false">3*(2*C22*1000000000+C23*C47)*C28/1000000000</f>
        <v>398.375557029888</v>
      </c>
      <c r="D48" s="74" t="n">
        <f aca="false">3*(2*D22*1000000000+D23*D47)*D28/1000000000</f>
        <v>1200.7959552</v>
      </c>
      <c r="E48" s="74" t="n">
        <f aca="false">3*(2*E22*1000000000+E23*E47)*E28/1000000000</f>
        <v>398.375557029888</v>
      </c>
      <c r="F48" s="74" t="n">
        <f aca="false">3*(2*F22*1000000000+F23*F47)*F28/1000000000</f>
        <v>1200.7959552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398.375557029888</v>
      </c>
      <c r="J48" s="74" t="n">
        <f aca="false">3*(2*J22*1000000000+J23*J47)*J28/1000000000</f>
        <v>1200.7959552</v>
      </c>
      <c r="K48" s="74" t="n">
        <f aca="false">3*(2*K22*1000000000+K23*K47)*K28/1000000000</f>
        <v>398.375557029888</v>
      </c>
      <c r="L48" s="74" t="n">
        <f aca="false">3*(2*L22*1000000000+L23*L47)*L28/1000000000</f>
        <v>1200.7959552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398.375557029888</v>
      </c>
      <c r="P48" s="74" t="n">
        <f aca="false">3*(2*P22*1000000000+P23*P47)*P28/1000000000</f>
        <v>1200.7959552</v>
      </c>
      <c r="Q48" s="74" t="n">
        <f aca="false">3*(2*Q22*1000000000+Q23*Q47)*Q28/1000000000</f>
        <v>398.375557029888</v>
      </c>
      <c r="R48" s="74" t="n">
        <f aca="false">3*(2*R22*1000000000+R23*R47)*R28/1000000000</f>
        <v>1200.7959552</v>
      </c>
      <c r="S48" s="74" t="n">
        <f aca="false">3*(2*S22*1000000000+S23*S47)*S28/1000000000</f>
        <v>398.375557029888</v>
      </c>
      <c r="T48" s="74" t="n">
        <f aca="false">3*(2*T22*1000000000+T23*T47)*T28/1000000000</f>
        <v>1200.7959552</v>
      </c>
      <c r="U48" s="74" t="n">
        <f aca="false">3*(2*U22*1000000000+U23*U47)*U28/1000000000</f>
        <v>398.375557029888</v>
      </c>
      <c r="V48" s="74" t="n">
        <f aca="false">3*(2*V22*1000000000+V23*V47)*V28/1000000000</f>
        <v>1200.7959552</v>
      </c>
      <c r="W48" s="74" t="n">
        <f aca="false">3*(2*W22*1000000000+W23*W47)*W28/1000000000</f>
        <v>398.375557029888</v>
      </c>
      <c r="X48" s="74" t="n">
        <f aca="false">3*(2*X22*1000000000+X23*X47)*X28/1000000000</f>
        <v>1200.7959552</v>
      </c>
      <c r="Y48" s="74" t="n">
        <f aca="false">3*(2*Y22*1000000000+Y23*Y47)*Y28/1000000000</f>
        <v>398.375557029888</v>
      </c>
      <c r="Z48" s="74" t="n">
        <f aca="false">3*(2*Z22*1000000000+Z23*Z47)*Z28/1000000000</f>
        <v>1200.7959552</v>
      </c>
      <c r="AA48" s="74" t="n">
        <f aca="false">3*(2*AA22*1000000000+AA23*AA47)*AA28/1000000000</f>
        <v>398.375557029888</v>
      </c>
      <c r="AB48" s="74" t="n">
        <f aca="false">3*(2*AB22*1000000000+AB23*AB47)*AB28/1000000000</f>
        <v>1200.7959552</v>
      </c>
      <c r="AC48" s="74" t="n">
        <f aca="false">3*(2*AC22*1000000000+AC23*AC47)*AC28/1000000000</f>
        <v>398.375557029888</v>
      </c>
      <c r="AD48" s="74" t="n">
        <f aca="false">3*(2*AD22*1000000000+AD23*AD47)*AD28/1000000000</f>
        <v>1200.7959552</v>
      </c>
      <c r="AE48" s="74" t="n">
        <f aca="false">3*(2*AE22*1000000000+AE23*AE47)*AE28/1000000000</f>
        <v>398.375557029888</v>
      </c>
      <c r="AF48" s="74" t="n">
        <f aca="false">3*(2*AF22*1000000000+AF23*AF47)*AF28/1000000000</f>
        <v>1200.7959552</v>
      </c>
      <c r="AG48" s="74" t="n">
        <f aca="false">3*(2*AG22*1000000000+AG23*AG47)*AG28/1000000000</f>
        <v>398.375557029888</v>
      </c>
      <c r="AH48" s="74" t="n">
        <f aca="false">3*(2*AH22*1000000000+AH23*AH47)*AH28/1000000000</f>
        <v>1200.7959552</v>
      </c>
    </row>
    <row r="49" customFormat="false" ht="15" hidden="false" customHeight="false" outlineLevel="0" collapsed="false">
      <c r="A49" s="61" t="s">
        <v>1030</v>
      </c>
      <c r="B49" s="61" t="s">
        <v>314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1" t="s">
        <v>1031</v>
      </c>
      <c r="B50" s="61" t="s">
        <v>103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1" t="s">
        <v>1032</v>
      </c>
      <c r="B51" s="61" t="s">
        <v>1023</v>
      </c>
      <c r="C51" s="67" t="n">
        <f aca="false">C49/(C12*1000000000000000*C16*C50*C17)/3600</f>
        <v>1951.67331486326</v>
      </c>
      <c r="D51" s="67" t="n">
        <f aca="false">D49/(D12*1000000000000000*D16*D50*D17)/3600</f>
        <v>11765.5884303351</v>
      </c>
      <c r="E51" s="67" t="n">
        <f aca="false">E49/(E12*1000000000000000*E16*E50*E17)/3600</f>
        <v>3252.78885810543</v>
      </c>
      <c r="F51" s="67" t="n">
        <f aca="false">F49/(F12*1000000000000000*F16*F50*F17)/3600</f>
        <v>19609.3140505585</v>
      </c>
      <c r="G51" s="67" t="n">
        <f aca="false">G49/(G12*1000000000000000*G16*G50*G17)/3600</f>
        <v>1219.79582178954</v>
      </c>
      <c r="H51" s="67" t="n">
        <f aca="false">H49/(H12*1000000000000000*H16*H50*H17)/3600</f>
        <v>7353.49276895943</v>
      </c>
      <c r="I51" s="67" t="n">
        <f aca="false">I49/(I12*1000000000000000*I16*I50*I17)/3600</f>
        <v>975.836657431629</v>
      </c>
      <c r="J51" s="67" t="n">
        <f aca="false">J49/(J12*1000000000000000*J16*J50*J17)/3600</f>
        <v>5882.79421516755</v>
      </c>
      <c r="K51" s="67" t="n">
        <f aca="false">K49/(K12*1000000000000000*K16*K50*K17)/3600</f>
        <v>1951.67331486326</v>
      </c>
      <c r="L51" s="67" t="n">
        <f aca="false">L49/(L12*1000000000000000*L16*L50*L17)/3600</f>
        <v>11765.5884303351</v>
      </c>
      <c r="M51" s="67" t="n">
        <f aca="false">M49/(M12*1000000000000000*M16*M50*M17)/3600</f>
        <v>1951.67331486326</v>
      </c>
      <c r="N51" s="67" t="n">
        <f aca="false">N49/(N12*1000000000000000*N16*N50*N17)/3600</f>
        <v>11765.5884303351</v>
      </c>
      <c r="O51" s="67" t="n">
        <f aca="false">O49/(O12*1000000000000000*O16*O50*O17)/3600</f>
        <v>1951.67331486326</v>
      </c>
      <c r="P51" s="67" t="n">
        <f aca="false">P49/(P12*1000000000000000*P16*P50*P17)/3600</f>
        <v>11765.5884303351</v>
      </c>
      <c r="Q51" s="67" t="n">
        <f aca="false">Q49/(Q12*1000000000000000*Q16*Q50*Q17)/3600</f>
        <v>1951.67331486326</v>
      </c>
      <c r="R51" s="67" t="n">
        <f aca="false">R49/(R12*1000000000000000*R16*R50*R17)/3600</f>
        <v>11765.5884303351</v>
      </c>
      <c r="S51" s="67" t="n">
        <f aca="false">S49/(S12*1000000000000000*S16*S50*S17)/3600</f>
        <v>1951.67331486326</v>
      </c>
      <c r="T51" s="67" t="n">
        <f aca="false">T49/(T12*1000000000000000*T16*T50*T17)/3600</f>
        <v>11765.5884303351</v>
      </c>
      <c r="U51" s="67" t="n">
        <f aca="false">U49/(U12*1000000000000000*U16*U50*U17)/3600</f>
        <v>1951.67331486326</v>
      </c>
      <c r="V51" s="67" t="n">
        <f aca="false">V49/(V12*1000000000000000*V16*V50*V17)/3600</f>
        <v>11765.5884303351</v>
      </c>
      <c r="W51" s="67" t="n">
        <f aca="false">W49/(W12*1000000000000000*W16*W50*W17)/3600</f>
        <v>1951.67331486326</v>
      </c>
      <c r="X51" s="67" t="n">
        <f aca="false">X49/(X12*1000000000000000*X16*X50*X17)/3600</f>
        <v>11765.5884303351</v>
      </c>
      <c r="Y51" s="67" t="n">
        <f aca="false">Y49/(Y12*1000000000000000*Y16*Y50*Y17)/3600</f>
        <v>1951.67331486326</v>
      </c>
      <c r="Z51" s="67" t="n">
        <f aca="false">Z49/(Z12*1000000000000000*Z16*Z50*Z17)/3600</f>
        <v>11765.5884303351</v>
      </c>
      <c r="AA51" s="67" t="n">
        <f aca="false">AA49/(AA12*1000000000000000*AA16*AA50*AA17)/3600</f>
        <v>1951.67331486326</v>
      </c>
      <c r="AB51" s="67" t="n">
        <f aca="false">AB49/(AB12*1000000000000000*AB16*AB50*AB17)/3600</f>
        <v>11765.5884303351</v>
      </c>
      <c r="AC51" s="67" t="n">
        <f aca="false">AC49/(AC12*1000000000000000*AC16*AC50*AC17)/3600</f>
        <v>1951.67331486326</v>
      </c>
      <c r="AD51" s="67" t="n">
        <f aca="false">AD49/(AD12*1000000000000000*AD16*AD50*AD17)/3600</f>
        <v>11765.5884303351</v>
      </c>
      <c r="AE51" s="67" t="n">
        <f aca="false">AE49/(AE12*1000000000000000*AE16*AE50*AE17)/3600</f>
        <v>1951.67331486326</v>
      </c>
      <c r="AF51" s="67" t="n">
        <f aca="false">AF49/(AF12*1000000000000000*AF16*AF50*AF17)/3600</f>
        <v>11765.5884303351</v>
      </c>
      <c r="AG51" s="67" t="n">
        <f aca="false">AG49/(AG12*1000000000000000*AG16*AG50*AG17)/3600</f>
        <v>2195.63247922116</v>
      </c>
      <c r="AH51" s="67" t="n">
        <f aca="false">AH49/(AH12*1000000000000000*AH16*AH50*AH17)/3600</f>
        <v>13236.286984127</v>
      </c>
    </row>
    <row r="52" customFormat="false" ht="15" hidden="false" customHeight="false" outlineLevel="0" collapsed="false">
      <c r="A52" s="75" t="s">
        <v>1033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</row>
    <row r="53" customFormat="false" ht="15" hidden="false" customHeight="false" outlineLevel="0" collapsed="false">
      <c r="A53" s="61" t="s">
        <v>1034</v>
      </c>
      <c r="B53" s="61" t="s">
        <v>954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0" t="s">
        <v>1035</v>
      </c>
      <c r="B54" s="61" t="s">
        <v>292</v>
      </c>
      <c r="C54" s="62" t="n">
        <f aca="false">INDEX(Perf_Batch!$C$43:$Q$43,3*(C$6-1)+C$7)</f>
        <v>8192</v>
      </c>
      <c r="D54" s="62" t="n">
        <f aca="false">INDEX(Perf_Batch!$C$43:$Q$43,3*(D$6-1)+D$7)</f>
        <v>16384</v>
      </c>
      <c r="E54" s="62" t="n">
        <f aca="false">INDEX(Perf_Batch!$C$43:$Q$43,3*(E$6-1)+E$7)</f>
        <v>8192</v>
      </c>
      <c r="F54" s="62" t="n">
        <f aca="false">INDEX(Perf_Batch!$C$43:$Q$43,3*(F$6-1)+F$7)</f>
        <v>16384</v>
      </c>
      <c r="G54" s="62" t="n">
        <f aca="false">INDEX(Perf_Batch!$C$43:$Q$43,3*(G$6-1)+G$7)</f>
        <v>8192</v>
      </c>
      <c r="H54" s="62" t="n">
        <f aca="false">INDEX(Perf_Batch!$C$43:$Q$43,3*(H$6-1)+H$7)</f>
        <v>16384</v>
      </c>
      <c r="I54" s="62" t="n">
        <f aca="false">INDEX(Perf_Batch!$C$43:$Q$43,3*(I$6-1)+I$7)</f>
        <v>8192</v>
      </c>
      <c r="J54" s="62" t="n">
        <f aca="false">INDEX(Perf_Batch!$C$43:$Q$43,3*(J$6-1)+J$7)</f>
        <v>16384</v>
      </c>
      <c r="K54" s="62" t="n">
        <f aca="false">INDEX(Perf_Batch!$C$43:$Q$43,3*(K$6-1)+K$7)</f>
        <v>8192</v>
      </c>
      <c r="L54" s="62" t="n">
        <f aca="false">INDEX(Perf_Batch!$C$43:$Q$43,3*(L$6-1)+L$7)</f>
        <v>16384</v>
      </c>
      <c r="M54" s="62" t="n">
        <f aca="false">INDEX(Perf_Batch!$C$43:$Q$43,3*(M$6-1)+M$7)</f>
        <v>8192</v>
      </c>
      <c r="N54" s="62" t="n">
        <f aca="false">INDEX(Perf_Batch!$C$43:$Q$43,3*(N$6-1)+N$7)</f>
        <v>16384</v>
      </c>
      <c r="O54" s="62" t="n">
        <f aca="false">INDEX(Perf_Batch!$C$43:$Q$43,3*(O$6-1)+O$7)</f>
        <v>8192</v>
      </c>
      <c r="P54" s="62" t="n">
        <f aca="false">INDEX(Perf_Batch!$C$43:$Q$43,3*(P$6-1)+P$7)</f>
        <v>16384</v>
      </c>
      <c r="Q54" s="62" t="n">
        <f aca="false">INDEX(Perf_Batch!$C$43:$Q$43,3*(Q$6-1)+Q$7)</f>
        <v>8192</v>
      </c>
      <c r="R54" s="62" t="n">
        <f aca="false">INDEX(Perf_Batch!$C$43:$Q$43,3*(R$6-1)+R$7)</f>
        <v>16384</v>
      </c>
      <c r="S54" s="62" t="n">
        <f aca="false">INDEX(Perf_Batch!$C$43:$Q$43,3*(S$6-1)+S$7)</f>
        <v>8192</v>
      </c>
      <c r="T54" s="62" t="n">
        <f aca="false">INDEX(Perf_Batch!$C$43:$Q$43,3*(T$6-1)+T$7)</f>
        <v>16384</v>
      </c>
      <c r="U54" s="62" t="n">
        <f aca="false">INDEX(Perf_Batch!$C$43:$Q$43,3*(U$6-1)+U$7)</f>
        <v>8192</v>
      </c>
      <c r="V54" s="62" t="n">
        <f aca="false">INDEX(Perf_Batch!$C$43:$Q$43,3*(V$6-1)+V$7)</f>
        <v>16384</v>
      </c>
      <c r="W54" s="62" t="n">
        <f aca="false">INDEX(Perf_Batch!$C$43:$Q$43,3*(W$6-1)+W$7)</f>
        <v>8192</v>
      </c>
      <c r="X54" s="62" t="n">
        <f aca="false">INDEX(Perf_Batch!$C$43:$Q$43,3*(X$6-1)+X$7)</f>
        <v>16384</v>
      </c>
      <c r="Y54" s="62" t="n">
        <f aca="false">INDEX(Perf_Batch!$C$43:$Q$43,3*(Y$6-1)+Y$7)</f>
        <v>8192</v>
      </c>
      <c r="Z54" s="62" t="n">
        <f aca="false">INDEX(Perf_Batch!$C$43:$Q$43,3*(Z$6-1)+Z$7)</f>
        <v>16384</v>
      </c>
      <c r="AA54" s="62" t="n">
        <f aca="false">INDEX(Perf_Batch!$C$43:$Q$43,3*(AA$6-1)+AA$7)</f>
        <v>8192</v>
      </c>
      <c r="AB54" s="62" t="n">
        <f aca="false">INDEX(Perf_Batch!$C$43:$Q$43,3*(AB$6-1)+AB$7)</f>
        <v>16384</v>
      </c>
      <c r="AC54" s="62" t="n">
        <f aca="false">INDEX(Perf_Batch!$C$43:$Q$43,3*(AC$6-1)+AC$7)</f>
        <v>8192</v>
      </c>
      <c r="AD54" s="62" t="n">
        <f aca="false">INDEX(Perf_Batch!$C$43:$Q$43,3*(AD$6-1)+AD$7)</f>
        <v>16384</v>
      </c>
      <c r="AE54" s="62" t="n">
        <f aca="false">INDEX(Perf_Batch!$C$43:$Q$43,3*(AE$6-1)+AE$7)</f>
        <v>8192</v>
      </c>
      <c r="AF54" s="62" t="n">
        <f aca="false">INDEX(Perf_Batch!$C$43:$Q$43,3*(AF$6-1)+AF$7)</f>
        <v>16384</v>
      </c>
      <c r="AG54" s="62" t="n">
        <f aca="false">INDEX(Perf_Batch!$C$43:$Q$43,3*(AG$6-1)+AG$7)</f>
        <v>8192</v>
      </c>
      <c r="AH54" s="62" t="n">
        <f aca="false">INDEX(Perf_Batch!$C$43:$Q$43,3*(AH$6-1)+AH$7)</f>
        <v>16384</v>
      </c>
    </row>
    <row r="55" customFormat="false" ht="15" hidden="false" customHeight="false" outlineLevel="0" collapsed="false">
      <c r="A55" s="60" t="s">
        <v>1036</v>
      </c>
      <c r="B55" s="61" t="s">
        <v>292</v>
      </c>
      <c r="C55" s="62" t="n">
        <f aca="false">INDEX(Perf_Batch!$C$44:$Q$44,3*(C$6-1)+C$7)</f>
        <v>16384</v>
      </c>
      <c r="D55" s="62" t="n">
        <f aca="false">INDEX(Perf_Batch!$C$44:$Q$44,3*(D$6-1)+D$7)</f>
        <v>32768</v>
      </c>
      <c r="E55" s="62" t="n">
        <f aca="false">INDEX(Perf_Batch!$C$44:$Q$44,3*(E$6-1)+E$7)</f>
        <v>16384</v>
      </c>
      <c r="F55" s="62" t="n">
        <f aca="false">INDEX(Perf_Batch!$C$44:$Q$44,3*(F$6-1)+F$7)</f>
        <v>32768</v>
      </c>
      <c r="G55" s="62" t="n">
        <f aca="false">INDEX(Perf_Batch!$C$44:$Q$44,3*(G$6-1)+G$7)</f>
        <v>16384</v>
      </c>
      <c r="H55" s="62" t="n">
        <f aca="false">INDEX(Perf_Batch!$C$44:$Q$44,3*(H$6-1)+H$7)</f>
        <v>32768</v>
      </c>
      <c r="I55" s="62" t="n">
        <f aca="false">INDEX(Perf_Batch!$C$44:$Q$44,3*(I$6-1)+I$7)</f>
        <v>16384</v>
      </c>
      <c r="J55" s="62" t="n">
        <f aca="false">INDEX(Perf_Batch!$C$44:$Q$44,3*(J$6-1)+J$7)</f>
        <v>32768</v>
      </c>
      <c r="K55" s="62" t="n">
        <f aca="false">INDEX(Perf_Batch!$C$44:$Q$44,3*(K$6-1)+K$7)</f>
        <v>16384</v>
      </c>
      <c r="L55" s="62" t="n">
        <f aca="false">INDEX(Perf_Batch!$C$44:$Q$44,3*(L$6-1)+L$7)</f>
        <v>32768</v>
      </c>
      <c r="M55" s="62" t="n">
        <f aca="false">INDEX(Perf_Batch!$C$44:$Q$44,3*(M$6-1)+M$7)</f>
        <v>16384</v>
      </c>
      <c r="N55" s="62" t="n">
        <f aca="false">INDEX(Perf_Batch!$C$44:$Q$44,3*(N$6-1)+N$7)</f>
        <v>32768</v>
      </c>
      <c r="O55" s="62" t="n">
        <f aca="false">INDEX(Perf_Batch!$C$44:$Q$44,3*(O$6-1)+O$7)</f>
        <v>16384</v>
      </c>
      <c r="P55" s="62" t="n">
        <f aca="false">INDEX(Perf_Batch!$C$44:$Q$44,3*(P$6-1)+P$7)</f>
        <v>32768</v>
      </c>
      <c r="Q55" s="62" t="n">
        <f aca="false">INDEX(Perf_Batch!$C$44:$Q$44,3*(Q$6-1)+Q$7)</f>
        <v>16384</v>
      </c>
      <c r="R55" s="62" t="n">
        <f aca="false">INDEX(Perf_Batch!$C$44:$Q$44,3*(R$6-1)+R$7)</f>
        <v>32768</v>
      </c>
      <c r="S55" s="62" t="n">
        <f aca="false">INDEX(Perf_Batch!$C$44:$Q$44,3*(S$6-1)+S$7)</f>
        <v>16384</v>
      </c>
      <c r="T55" s="62" t="n">
        <f aca="false">INDEX(Perf_Batch!$C$44:$Q$44,3*(T$6-1)+T$7)</f>
        <v>32768</v>
      </c>
      <c r="U55" s="62" t="n">
        <f aca="false">INDEX(Perf_Batch!$C$44:$Q$44,3*(U$6-1)+U$7)</f>
        <v>16384</v>
      </c>
      <c r="V55" s="62" t="n">
        <f aca="false">INDEX(Perf_Batch!$C$44:$Q$44,3*(V$6-1)+V$7)</f>
        <v>32768</v>
      </c>
      <c r="W55" s="62" t="n">
        <f aca="false">INDEX(Perf_Batch!$C$44:$Q$44,3*(W$6-1)+W$7)</f>
        <v>16384</v>
      </c>
      <c r="X55" s="62" t="n">
        <f aca="false">INDEX(Perf_Batch!$C$44:$Q$44,3*(X$6-1)+X$7)</f>
        <v>32768</v>
      </c>
      <c r="Y55" s="62" t="n">
        <f aca="false">INDEX(Perf_Batch!$C$44:$Q$44,3*(Y$6-1)+Y$7)</f>
        <v>16384</v>
      </c>
      <c r="Z55" s="62" t="n">
        <f aca="false">INDEX(Perf_Batch!$C$44:$Q$44,3*(Z$6-1)+Z$7)</f>
        <v>32768</v>
      </c>
      <c r="AA55" s="62" t="n">
        <f aca="false">INDEX(Perf_Batch!$C$44:$Q$44,3*(AA$6-1)+AA$7)</f>
        <v>16384</v>
      </c>
      <c r="AB55" s="62" t="n">
        <f aca="false">INDEX(Perf_Batch!$C$44:$Q$44,3*(AB$6-1)+AB$7)</f>
        <v>32768</v>
      </c>
      <c r="AC55" s="62" t="n">
        <f aca="false">INDEX(Perf_Batch!$C$44:$Q$44,3*(AC$6-1)+AC$7)</f>
        <v>16384</v>
      </c>
      <c r="AD55" s="62" t="n">
        <f aca="false">INDEX(Perf_Batch!$C$44:$Q$44,3*(AD$6-1)+AD$7)</f>
        <v>32768</v>
      </c>
      <c r="AE55" s="62" t="n">
        <f aca="false">INDEX(Perf_Batch!$C$44:$Q$44,3*(AE$6-1)+AE$7)</f>
        <v>16384</v>
      </c>
      <c r="AF55" s="62" t="n">
        <f aca="false">INDEX(Perf_Batch!$C$44:$Q$44,3*(AF$6-1)+AF$7)</f>
        <v>32768</v>
      </c>
      <c r="AG55" s="62" t="n">
        <f aca="false">INDEX(Perf_Batch!$C$44:$Q$44,3*(AG$6-1)+AG$7)</f>
        <v>16384</v>
      </c>
      <c r="AH55" s="62" t="n">
        <f aca="false">INDEX(Perf_Batch!$C$44:$Q$44,3*(AH$6-1)+AH$7)</f>
        <v>32768</v>
      </c>
    </row>
    <row r="56" customFormat="false" ht="15" hidden="false" customHeight="false" outlineLevel="0" collapsed="false">
      <c r="A56" s="60" t="s">
        <v>1037</v>
      </c>
      <c r="B56" s="60" t="s">
        <v>329</v>
      </c>
      <c r="C56" s="67" t="n">
        <f aca="false">C53*1000000000000/C55</f>
        <v>144042968.75</v>
      </c>
      <c r="D56" s="67" t="n">
        <f aca="false">D53*1000000000000/D55</f>
        <v>292968750</v>
      </c>
      <c r="E56" s="67" t="n">
        <f aca="false">E53*1000000000000/E55</f>
        <v>144042968.75</v>
      </c>
      <c r="F56" s="67" t="n">
        <f aca="false">F53*1000000000000/F55</f>
        <v>292968750</v>
      </c>
      <c r="G56" s="67" t="n">
        <f aca="false">G53*1000000000000/G55</f>
        <v>144042968.75</v>
      </c>
      <c r="H56" s="67" t="n">
        <f aca="false">H53*1000000000000/H55</f>
        <v>292968750</v>
      </c>
      <c r="I56" s="67" t="n">
        <f aca="false">I53*1000000000000/I55</f>
        <v>144042968.75</v>
      </c>
      <c r="J56" s="67" t="n">
        <f aca="false">J53*1000000000000/J55</f>
        <v>292968750</v>
      </c>
      <c r="K56" s="67" t="n">
        <f aca="false">K53*1000000000000/K55</f>
        <v>144042968.75</v>
      </c>
      <c r="L56" s="67" t="n">
        <f aca="false">L53*1000000000000/L55</f>
        <v>292968750</v>
      </c>
      <c r="M56" s="67" t="n">
        <f aca="false">M53*1000000000000/M55</f>
        <v>144042968.75</v>
      </c>
      <c r="N56" s="67" t="n">
        <f aca="false">N53*1000000000000/N55</f>
        <v>292968750</v>
      </c>
      <c r="O56" s="67" t="n">
        <f aca="false">O53*1000000000000/O55</f>
        <v>43212890.625</v>
      </c>
      <c r="P56" s="67" t="n">
        <f aca="false">P53*1000000000000/P55</f>
        <v>87890625</v>
      </c>
      <c r="Q56" s="67" t="n">
        <f aca="false">Q53*1000000000000/Q55</f>
        <v>432128906.25</v>
      </c>
      <c r="R56" s="67" t="n">
        <f aca="false">R53*1000000000000/R55</f>
        <v>878906250</v>
      </c>
      <c r="S56" s="67" t="n">
        <f aca="false">S53*1000000000000/S55</f>
        <v>144042968.75</v>
      </c>
      <c r="T56" s="67" t="n">
        <f aca="false">T53*1000000000000/T55</f>
        <v>292968750</v>
      </c>
      <c r="U56" s="67" t="n">
        <f aca="false">U53*1000000000000/U55</f>
        <v>144042968.75</v>
      </c>
      <c r="V56" s="67" t="n">
        <f aca="false">V53*1000000000000/V55</f>
        <v>292968750</v>
      </c>
      <c r="W56" s="67" t="n">
        <f aca="false">W53*1000000000000/W55</f>
        <v>144042968.75</v>
      </c>
      <c r="X56" s="67" t="n">
        <f aca="false">X53*1000000000000/X55</f>
        <v>292968750</v>
      </c>
      <c r="Y56" s="67" t="n">
        <f aca="false">Y53*1000000000000/Y55</f>
        <v>144042968.75</v>
      </c>
      <c r="Z56" s="67" t="n">
        <f aca="false">Z53*1000000000000/Z55</f>
        <v>292968750</v>
      </c>
      <c r="AA56" s="67" t="n">
        <f aca="false">AA53*1000000000000/AA55</f>
        <v>144042968.75</v>
      </c>
      <c r="AB56" s="67" t="n">
        <f aca="false">AB53*1000000000000/AB55</f>
        <v>292968750</v>
      </c>
      <c r="AC56" s="67" t="n">
        <f aca="false">AC53*1000000000000/AC55</f>
        <v>144042968.75</v>
      </c>
      <c r="AD56" s="67" t="n">
        <f aca="false">AD53*1000000000000/AD55</f>
        <v>292968750</v>
      </c>
      <c r="AE56" s="67" t="n">
        <f aca="false">AE53*1000000000000/AE55</f>
        <v>144042968.75</v>
      </c>
      <c r="AF56" s="67" t="n">
        <f aca="false">AF53*1000000000000/AF55</f>
        <v>292968750</v>
      </c>
      <c r="AG56" s="67" t="n">
        <f aca="false">AG53*1000000000000/AG55</f>
        <v>144042968.75</v>
      </c>
      <c r="AH56" s="67" t="n">
        <f aca="false">AH53*1000000000000/AH55</f>
        <v>292968750</v>
      </c>
    </row>
    <row r="57" customFormat="false" ht="15" hidden="false" customHeight="false" outlineLevel="0" collapsed="false">
      <c r="A57" s="61" t="s">
        <v>1038</v>
      </c>
      <c r="B57" s="60" t="s">
        <v>329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  <c r="R57" s="89" t="n">
        <f aca="false">Train_In!$C$12</f>
        <v>16</v>
      </c>
      <c r="S57" s="89" t="n">
        <f aca="false">Train_In!$C$12</f>
        <v>16</v>
      </c>
      <c r="T57" s="89" t="n">
        <f aca="false">Train_In!$C$12</f>
        <v>16</v>
      </c>
      <c r="U57" s="89" t="n">
        <f aca="false">Train_In!$C$12</f>
        <v>16</v>
      </c>
      <c r="V57" s="89" t="n">
        <f aca="false">Train_In!$C$12</f>
        <v>16</v>
      </c>
      <c r="W57" s="89" t="n">
        <f aca="false">Train_In!$C$12</f>
        <v>16</v>
      </c>
      <c r="X57" s="89" t="n">
        <f aca="false">Train_In!$C$12</f>
        <v>16</v>
      </c>
      <c r="Y57" s="89" t="n">
        <f aca="false">Train_In!$C$12</f>
        <v>16</v>
      </c>
      <c r="Z57" s="89" t="n">
        <f aca="false">Train_In!$C$12</f>
        <v>16</v>
      </c>
      <c r="AA57" s="89" t="n">
        <f aca="false">Train_In!$C$12</f>
        <v>16</v>
      </c>
      <c r="AB57" s="89" t="n">
        <f aca="false">Train_In!$C$12</f>
        <v>16</v>
      </c>
      <c r="AC57" s="89" t="n">
        <f aca="false">Train_In!$C$12</f>
        <v>16</v>
      </c>
      <c r="AD57" s="89" t="n">
        <f aca="false">Train_In!$C$12</f>
        <v>16</v>
      </c>
      <c r="AE57" s="89" t="n">
        <f aca="false">Train_In!$C$12</f>
        <v>16</v>
      </c>
      <c r="AF57" s="89" t="n">
        <f aca="false">Train_In!$C$12</f>
        <v>16</v>
      </c>
      <c r="AG57" s="89" t="n">
        <f aca="false">Train_In!$C$12</f>
        <v>16</v>
      </c>
      <c r="AH57" s="89" t="n">
        <f aca="false">Train_In!$C$12</f>
        <v>16</v>
      </c>
    </row>
    <row r="58" customFormat="false" ht="15" hidden="false" customHeight="false" outlineLevel="0" collapsed="false">
      <c r="A58" s="60" t="s">
        <v>1039</v>
      </c>
      <c r="B58" s="61" t="s">
        <v>954</v>
      </c>
      <c r="C58" s="71" t="n">
        <f aca="false">C56*C54/C57/1000000000000</f>
        <v>0.07375</v>
      </c>
      <c r="D58" s="71" t="n">
        <f aca="false">D56*D54/D57/1000000000000</f>
        <v>0.3</v>
      </c>
      <c r="E58" s="71" t="n">
        <f aca="false">E56*E54/E57/1000000000000</f>
        <v>0.07375</v>
      </c>
      <c r="F58" s="71" t="n">
        <f aca="false">F56*F54/F57/1000000000000</f>
        <v>0.3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0.3</v>
      </c>
      <c r="K58" s="71" t="n">
        <f aca="false">K56*K54/K57/1000000000000</f>
        <v>0.07375</v>
      </c>
      <c r="L58" s="71" t="n">
        <f aca="false">L56*L54/L57/1000000000000</f>
        <v>0.3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0.022125</v>
      </c>
      <c r="P58" s="71" t="n">
        <f aca="false">P56*P54/P57/1000000000000</f>
        <v>0.09</v>
      </c>
      <c r="Q58" s="71" t="n">
        <f aca="false">Q56*Q54/Q57/1000000000000</f>
        <v>0.22125</v>
      </c>
      <c r="R58" s="71" t="n">
        <f aca="false">R56*R54/R57/1000000000000</f>
        <v>0.9</v>
      </c>
      <c r="S58" s="71" t="n">
        <f aca="false">S56*S54/S57/1000000000000</f>
        <v>0.07375</v>
      </c>
      <c r="T58" s="71" t="n">
        <f aca="false">T56*T54/T57/1000000000000</f>
        <v>0.3</v>
      </c>
      <c r="U58" s="71" t="n">
        <f aca="false">U56*U54/U57/1000000000000</f>
        <v>0.07375</v>
      </c>
      <c r="V58" s="71" t="n">
        <f aca="false">V56*V54/V57/1000000000000</f>
        <v>0.3</v>
      </c>
      <c r="W58" s="71" t="n">
        <f aca="false">W56*W54/W57/1000000000000</f>
        <v>0.07375</v>
      </c>
      <c r="X58" s="71" t="n">
        <f aca="false">X56*X54/X57/1000000000000</f>
        <v>0.3</v>
      </c>
      <c r="Y58" s="71" t="n">
        <f aca="false">Y56*Y54/Y57/1000000000000</f>
        <v>0.07375</v>
      </c>
      <c r="Z58" s="71" t="n">
        <f aca="false">Z56*Z54/Z57/1000000000000</f>
        <v>0.3</v>
      </c>
      <c r="AA58" s="71" t="n">
        <f aca="false">AA56*AA54/AA57/1000000000000</f>
        <v>0.07375</v>
      </c>
      <c r="AB58" s="71" t="n">
        <f aca="false">AB56*AB54/AB57/1000000000000</f>
        <v>0.3</v>
      </c>
      <c r="AC58" s="71" t="n">
        <f aca="false">AC56*AC54/AC57/1000000000000</f>
        <v>0.07375</v>
      </c>
      <c r="AD58" s="71" t="n">
        <f aca="false">AD56*AD54/AD57/1000000000000</f>
        <v>0.3</v>
      </c>
      <c r="AE58" s="71" t="n">
        <f aca="false">AE56*AE54/AE57/1000000000000</f>
        <v>0.07375</v>
      </c>
      <c r="AF58" s="71" t="n">
        <f aca="false">AF56*AF54/AF57/1000000000000</f>
        <v>0.3</v>
      </c>
      <c r="AG58" s="71" t="n">
        <f aca="false">AG56*AG54/AG57/1000000000000</f>
        <v>0.07375</v>
      </c>
      <c r="AH58" s="71" t="n">
        <f aca="false">AH56*AH54/AH57/1000000000000</f>
        <v>0.3</v>
      </c>
    </row>
    <row r="59" customFormat="false" ht="15" hidden="false" customHeight="false" outlineLevel="0" collapsed="false">
      <c r="A59" s="61" t="s">
        <v>1040</v>
      </c>
      <c r="B59" s="61" t="s">
        <v>803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1" t="s">
        <v>1041</v>
      </c>
      <c r="B60" s="61" t="s">
        <v>803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1" t="s">
        <v>1042</v>
      </c>
      <c r="B61" s="61" t="s">
        <v>493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1" t="s">
        <v>1043</v>
      </c>
      <c r="B62" s="61" t="s">
        <v>493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1" t="s">
        <v>1044</v>
      </c>
      <c r="B63" s="61" t="s">
        <v>103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1" t="s">
        <v>1045</v>
      </c>
      <c r="B64" s="61" t="s">
        <v>99</v>
      </c>
      <c r="C64" s="64" t="n">
        <f aca="false">Train_In!$C$11*C63</f>
        <v>0.85</v>
      </c>
      <c r="D64" s="64" t="n">
        <f aca="false">Train_In!$C$11*D63</f>
        <v>0.85</v>
      </c>
      <c r="E64" s="64" t="n">
        <f aca="false">Train_In!$C$11*E63</f>
        <v>0.85</v>
      </c>
      <c r="F64" s="64" t="n">
        <f aca="false">Train_In!$C$11*F63</f>
        <v>0.85</v>
      </c>
      <c r="G64" s="64" t="n">
        <f aca="false">Train_In!$C$11*G63</f>
        <v>0.85</v>
      </c>
      <c r="H64" s="64" t="n">
        <f aca="false">Train_In!$C$11*H63</f>
        <v>0.85</v>
      </c>
      <c r="I64" s="64" t="n">
        <f aca="false">Train_In!$C$11*I63</f>
        <v>0.85</v>
      </c>
      <c r="J64" s="64" t="n">
        <f aca="false">Train_In!$C$11*J63</f>
        <v>0.85</v>
      </c>
      <c r="K64" s="64" t="n">
        <f aca="false">Train_In!$C$11*K63</f>
        <v>0.85</v>
      </c>
      <c r="L64" s="64" t="n">
        <f aca="false">Train_In!$C$11*L63</f>
        <v>0.85</v>
      </c>
      <c r="M64" s="64" t="n">
        <f aca="false">Train_In!$C$11*M63</f>
        <v>0.85</v>
      </c>
      <c r="N64" s="64" t="n">
        <f aca="false">Train_In!$C$11*N63</f>
        <v>0.85</v>
      </c>
      <c r="O64" s="64" t="n">
        <f aca="false">Train_In!$C$11*O63</f>
        <v>0.85</v>
      </c>
      <c r="P64" s="64" t="n">
        <f aca="false">Train_In!$C$11*P63</f>
        <v>0.85</v>
      </c>
      <c r="Q64" s="64" t="n">
        <f aca="false">Train_In!$C$11*Q63</f>
        <v>0.85</v>
      </c>
      <c r="R64" s="64" t="n">
        <f aca="false">Train_In!$C$11*R63</f>
        <v>0.85</v>
      </c>
      <c r="S64" s="79" t="n">
        <v>0.6</v>
      </c>
      <c r="T64" s="79" t="n">
        <v>0.6</v>
      </c>
      <c r="U64" s="79" t="n">
        <v>0.95</v>
      </c>
      <c r="V64" s="79" t="n">
        <v>0.95</v>
      </c>
      <c r="W64" s="64" t="n">
        <f aca="false">Train_In!$C$11*W63</f>
        <v>0.85</v>
      </c>
      <c r="X64" s="64" t="n">
        <f aca="false">Train_In!$C$11*X63</f>
        <v>0.85</v>
      </c>
      <c r="Y64" s="64" t="n">
        <f aca="false">Train_In!$C$11*Y63</f>
        <v>0.85</v>
      </c>
      <c r="Z64" s="64" t="n">
        <f aca="false">Train_In!$C$11*Z63</f>
        <v>0.85</v>
      </c>
      <c r="AA64" s="64" t="n">
        <f aca="false">Train_In!$C$11*AA63</f>
        <v>0.85</v>
      </c>
      <c r="AB64" s="64" t="n">
        <f aca="false">Train_In!$C$11*AB63</f>
        <v>0.85</v>
      </c>
      <c r="AC64" s="64" t="n">
        <f aca="false">Train_In!$C$11*AC63</f>
        <v>0.85</v>
      </c>
      <c r="AD64" s="64" t="n">
        <f aca="false">Train_In!$C$11*AD63</f>
        <v>0.85</v>
      </c>
      <c r="AE64" s="64" t="n">
        <f aca="false">Train_In!$C$11*AE63</f>
        <v>0.85</v>
      </c>
      <c r="AF64" s="64" t="n">
        <f aca="false">Train_In!$C$11*AF63</f>
        <v>0.85</v>
      </c>
      <c r="AG64" s="64" t="n">
        <f aca="false">Train_In!$C$11*AG63</f>
        <v>0.85</v>
      </c>
      <c r="AH64" s="64" t="n">
        <f aca="false">Train_In!$C$11*AH63</f>
        <v>0.85</v>
      </c>
    </row>
    <row r="65" customFormat="false" ht="15" hidden="false" customHeight="false" outlineLevel="0" collapsed="false">
      <c r="A65" s="61" t="s">
        <v>1046</v>
      </c>
      <c r="B65" s="61" t="s">
        <v>1023</v>
      </c>
      <c r="C65" s="67" t="n">
        <f aca="false">IF(AND(ISNUMBER(C59)),(C53*1000000*C59+C58*1000000*C60)/3600/C64,"SLO 不可達")</f>
        <v>192233.176009909</v>
      </c>
      <c r="D65" s="67" t="n">
        <f aca="false">IF(AND(ISNUMBER(D59)),(D53*1000000*D59+D58*1000000*D60)/3600/D64,"SLO 不可達")</f>
        <v>3332012.23278618</v>
      </c>
      <c r="E65" s="67" t="n">
        <f aca="false">IF(AND(ISNUMBER(E59)),(E53*1000000*E59+E58*1000000*E60)/3600/E64,"SLO 不可達")</f>
        <v>192233.176009909</v>
      </c>
      <c r="F65" s="67" t="n">
        <f aca="false">IF(AND(ISNUMBER(F59)),(F53*1000000*F59+F58*1000000*F60)/3600/F64,"SLO 不可達")</f>
        <v>3332012.23278618</v>
      </c>
      <c r="G65" s="67" t="n">
        <f aca="false">IF(AND(ISNUMBER(G59)),(G53*1000000*G59+G58*1000000*G60)/3600/G64,"SLO 不可達")</f>
        <v>192233.176009909</v>
      </c>
      <c r="H65" s="67" t="n">
        <f aca="false">IF(AND(ISNUMBER(H59)),(H53*1000000*H59+H58*1000000*H60)/3600/H64,"SLO 不可達")</f>
        <v>3332012.23278618</v>
      </c>
      <c r="I65" s="67" t="n">
        <f aca="false">IF(AND(ISNUMBER(I59)),(I53*1000000*I59+I58*1000000*I60)/3600/I64,"SLO 不可達")</f>
        <v>192233.176009909</v>
      </c>
      <c r="J65" s="67" t="n">
        <f aca="false">IF(AND(ISNUMBER(J59)),(J53*1000000*J59+J58*1000000*J60)/3600/J64,"SLO 不可達")</f>
        <v>3332012.23278618</v>
      </c>
      <c r="K65" s="67" t="n">
        <f aca="false">IF(AND(ISNUMBER(K59)),(K53*1000000*K59+K58*1000000*K60)/3600/K64,"SLO 不可達")</f>
        <v>192233.176009909</v>
      </c>
      <c r="L65" s="67" t="n">
        <f aca="false">IF(AND(ISNUMBER(L59)),(L53*1000000*L59+L58*1000000*L60)/3600/L64,"SLO 不可達")</f>
        <v>3332012.23278618</v>
      </c>
      <c r="M65" s="67" t="n">
        <f aca="false">IF(AND(ISNUMBER(M59)),(M53*1000000*M59+M58*1000000*M60)/3600/M64,"SLO 不可達")</f>
        <v>192233.176009909</v>
      </c>
      <c r="N65" s="67" t="n">
        <f aca="false">IF(AND(ISNUMBER(N59)),(N53*1000000*N59+N58*1000000*N60)/3600/N64,"SLO 不可達")</f>
        <v>3332012.23278618</v>
      </c>
      <c r="O65" s="67" t="n">
        <f aca="false">IF(AND(ISNUMBER(O59)),(O53*1000000*O59+O58*1000000*O60)/3600/O64,"SLO 不可達")</f>
        <v>57669.9528029726</v>
      </c>
      <c r="P65" s="67" t="n">
        <f aca="false">IF(AND(ISNUMBER(P59)),(P53*1000000*P59+P58*1000000*P60)/3600/P64,"SLO 不可達")</f>
        <v>999603.669835855</v>
      </c>
      <c r="Q65" s="67" t="n">
        <f aca="false">IF(AND(ISNUMBER(Q59)),(Q53*1000000*Q59+Q58*1000000*Q60)/3600/Q64,"SLO 不可達")</f>
        <v>576699.528029727</v>
      </c>
      <c r="R65" s="67" t="n">
        <f aca="false">IF(AND(ISNUMBER(R59)),(R53*1000000*R59+R58*1000000*R60)/3600/R64,"SLO 不可達")</f>
        <v>9996036.69835855</v>
      </c>
      <c r="S65" s="67" t="n">
        <f aca="false">IF(AND(ISNUMBER(S59)),(S53*1000000*S59+S58*1000000*S60)/3600/S64,"SLO 不可達")</f>
        <v>272330.332680704</v>
      </c>
      <c r="T65" s="67" t="n">
        <f aca="false">IF(AND(ISNUMBER(T59)),(T53*1000000*T59+T58*1000000*T60)/3600/T64,"SLO 不可達")</f>
        <v>4720350.66311376</v>
      </c>
      <c r="U65" s="67" t="n">
        <f aca="false">IF(AND(ISNUMBER(U59)),(U53*1000000*U59+U58*1000000*U60)/3600/U64,"SLO 不可達")</f>
        <v>171998.104850971</v>
      </c>
      <c r="V65" s="67" t="n">
        <f aca="false">IF(AND(ISNUMBER(V59)),(V53*1000000*V59+V58*1000000*V60)/3600/V64,"SLO 不可達")</f>
        <v>2981274.10301922</v>
      </c>
      <c r="W65" s="67" t="n">
        <f aca="false">IF(AND(ISNUMBER(W59)),(W53*1000000*W59+W58*1000000*W60)/3600/W64,"SLO 不可達")</f>
        <v>290998.167186332</v>
      </c>
      <c r="X65" s="67" t="n">
        <f aca="false">IF(AND(ISNUMBER(X59)),(X53*1000000*X59+X58*1000000*X60)/3600/X64,"SLO 不可達")</f>
        <v>5069926.93360148</v>
      </c>
      <c r="Y65" s="67" t="n">
        <f aca="false">IF(AND(ISNUMBER(Y59)),(Y53*1000000*Y59+Y58*1000000*Y60)/3600/Y64,"SLO 不可達")</f>
        <v>192233.176009909</v>
      </c>
      <c r="Z65" s="67" t="n">
        <f aca="false">IF(AND(ISNUMBER(Z59)),(Z53*1000000*Z59+Z58*1000000*Z60)/3600/Z64,"SLO 不可達")</f>
        <v>3332012.23278618</v>
      </c>
      <c r="AA65" s="67" t="n">
        <f aca="false">IF(AND(ISNUMBER(AA59)),(AA53*1000000*AA59+AA58*1000000*AA60)/3600/AA64,"SLO 不可達")</f>
        <v>192233.176009909</v>
      </c>
      <c r="AB65" s="67" t="n">
        <f aca="false">IF(AND(ISNUMBER(AB59)),(AB53*1000000*AB59+AB58*1000000*AB60)/3600/AB64,"SLO 不可達")</f>
        <v>3332012.23278618</v>
      </c>
      <c r="AC65" s="67" t="n">
        <f aca="false">IF(AND(ISNUMBER(AC59)),(AC53*1000000*AC59+AC58*1000000*AC60)/3600/AC64,"SLO 不可達")</f>
        <v>192233.176009909</v>
      </c>
      <c r="AD65" s="67" t="n">
        <f aca="false">IF(AND(ISNUMBER(AD59)),(AD53*1000000*AD59+AD58*1000000*AD60)/3600/AD64,"SLO 不可達")</f>
        <v>3332012.23278618</v>
      </c>
      <c r="AE65" s="67" t="n">
        <f aca="false">IF(AND(ISNUMBER(AE59)),(AE53*1000000*AE59+AE58*1000000*AE60)/3600/AE64,"SLO 不可達")</f>
        <v>192233.176009909</v>
      </c>
      <c r="AF65" s="67" t="n">
        <f aca="false">IF(AND(ISNUMBER(AF59)),(AF53*1000000*AF59+AF58*1000000*AF60)/3600/AF64,"SLO 不可達")</f>
        <v>3332012.23278618</v>
      </c>
      <c r="AG65" s="67" t="n">
        <f aca="false">IF(AND(ISNUMBER(AG59)),(AG53*1000000*AG59+AG58*1000000*AG60)/3600/AG64,"SLO 不可達")</f>
        <v>192233.176009909</v>
      </c>
      <c r="AH65" s="67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1" t="s">
        <v>1047</v>
      </c>
      <c r="B66" s="61" t="s">
        <v>314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1" t="s">
        <v>1048</v>
      </c>
      <c r="B67" s="61" t="s">
        <v>954</v>
      </c>
      <c r="C67" s="74" t="n">
        <f aca="false">C56*(C54+C55)/1000000000000</f>
        <v>3.54</v>
      </c>
      <c r="D67" s="74" t="n">
        <f aca="false">D56*(D54+D55)/1000000000000</f>
        <v>14.4</v>
      </c>
      <c r="E67" s="74" t="n">
        <f aca="false">E56*(E54+E55)/1000000000000</f>
        <v>3.54</v>
      </c>
      <c r="F67" s="74" t="n">
        <f aca="false">F56*(F54+F55)/1000000000000</f>
        <v>14.4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14.4</v>
      </c>
      <c r="K67" s="74" t="n">
        <f aca="false">K56*(K54+K55)/1000000000000</f>
        <v>3.54</v>
      </c>
      <c r="L67" s="74" t="n">
        <f aca="false">L56*(L54+L55)/1000000000000</f>
        <v>14.4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1.062</v>
      </c>
      <c r="P67" s="74" t="n">
        <f aca="false">P56*(P54+P55)/1000000000000</f>
        <v>4.32</v>
      </c>
      <c r="Q67" s="74" t="n">
        <f aca="false">Q56*(Q54+Q55)/1000000000000</f>
        <v>10.62</v>
      </c>
      <c r="R67" s="74" t="n">
        <f aca="false">R56*(R54+R55)/1000000000000</f>
        <v>43.2</v>
      </c>
      <c r="S67" s="74" t="n">
        <f aca="false">S56*(S54+S55)/1000000000000</f>
        <v>3.54</v>
      </c>
      <c r="T67" s="74" t="n">
        <f aca="false">T56*(T54+T55)/1000000000000</f>
        <v>14.4</v>
      </c>
      <c r="U67" s="74" t="n">
        <f aca="false">U56*(U54+U55)/1000000000000</f>
        <v>3.54</v>
      </c>
      <c r="V67" s="74" t="n">
        <f aca="false">V56*(V54+V55)/1000000000000</f>
        <v>14.4</v>
      </c>
      <c r="W67" s="74" t="n">
        <f aca="false">W56*(W54+W55)/1000000000000</f>
        <v>3.54</v>
      </c>
      <c r="X67" s="74" t="n">
        <f aca="false">X56*(X54+X55)/1000000000000</f>
        <v>14.4</v>
      </c>
      <c r="Y67" s="74" t="n">
        <f aca="false">Y56*(Y54+Y55)/1000000000000</f>
        <v>3.54</v>
      </c>
      <c r="Z67" s="74" t="n">
        <f aca="false">Z56*(Z54+Z55)/1000000000000</f>
        <v>14.4</v>
      </c>
      <c r="AA67" s="74" t="n">
        <f aca="false">AA56*(AA54+AA55)/1000000000000</f>
        <v>3.54</v>
      </c>
      <c r="AB67" s="74" t="n">
        <f aca="false">AB56*(AB54+AB55)/1000000000000</f>
        <v>14.4</v>
      </c>
      <c r="AC67" s="74" t="n">
        <f aca="false">AC56*(AC54+AC55)/1000000000000</f>
        <v>3.54</v>
      </c>
      <c r="AD67" s="74" t="n">
        <f aca="false">AD56*(AD54+AD55)/1000000000000</f>
        <v>14.4</v>
      </c>
      <c r="AE67" s="74" t="n">
        <f aca="false">AE56*(AE54+AE55)/1000000000000</f>
        <v>3.54</v>
      </c>
      <c r="AF67" s="74" t="n">
        <f aca="false">AF56*(AF54+AF55)/1000000000000</f>
        <v>14.4</v>
      </c>
      <c r="AG67" s="74" t="n">
        <f aca="false">AG56*(AG54+AG55)/1000000000000</f>
        <v>3.54</v>
      </c>
      <c r="AH67" s="74" t="n">
        <f aca="false">AH56*(AH54+AH55)/1000000000000</f>
        <v>14.4</v>
      </c>
    </row>
    <row r="68" customFormat="false" ht="15" hidden="false" customHeight="false" outlineLevel="0" collapsed="false">
      <c r="A68" s="61" t="s">
        <v>1049</v>
      </c>
      <c r="B68" s="61" t="s">
        <v>292</v>
      </c>
      <c r="C68" s="67" t="n">
        <f aca="false">C24*IF(C25=0,(C54+C55)/2,MIN((C54+C55)/2,C25))+(1-C24)*((C54+C55)/2/C26+C27)</f>
        <v>2192</v>
      </c>
      <c r="D68" s="67" t="n">
        <f aca="false">D24*IF(D25=0,(D54+D55)/2,MIN((D54+D55)/2,D25))+(1-D24)*((D54+D55)/2/D26+D27)</f>
        <v>24576</v>
      </c>
      <c r="E68" s="67" t="n">
        <f aca="false">E24*IF(E25=0,(E54+E55)/2,MIN((E54+E55)/2,E25))+(1-E24)*((E54+E55)/2/E26+E27)</f>
        <v>2192</v>
      </c>
      <c r="F68" s="67" t="n">
        <f aca="false">F24*IF(F25=0,(F54+F55)/2,MIN((F54+F55)/2,F25))+(1-F24)*((F54+F55)/2/F26+F27)</f>
        <v>24576</v>
      </c>
      <c r="G68" s="67" t="n">
        <f aca="false">G24*IF(G25=0,(G54+G55)/2,MIN((G54+G55)/2,G25))+(1-G24)*((G54+G55)/2/G26+G27)</f>
        <v>2192</v>
      </c>
      <c r="H68" s="67" t="n">
        <f aca="false">H24*IF(H25=0,(H54+H55)/2,MIN((H54+H55)/2,H25))+(1-H24)*((H54+H55)/2/H26+H27)</f>
        <v>24576</v>
      </c>
      <c r="I68" s="67" t="n">
        <f aca="false">I24*IF(I25=0,(I54+I55)/2,MIN((I54+I55)/2,I25))+(1-I24)*((I54+I55)/2/I26+I27)</f>
        <v>2192</v>
      </c>
      <c r="J68" s="67" t="n">
        <f aca="false">J24*IF(J25=0,(J54+J55)/2,MIN((J54+J55)/2,J25))+(1-J24)*((J54+J55)/2/J26+J27)</f>
        <v>24576</v>
      </c>
      <c r="K68" s="67" t="n">
        <f aca="false">K24*IF(K25=0,(K54+K55)/2,MIN((K54+K55)/2,K25))+(1-K24)*((K54+K55)/2/K26+K27)</f>
        <v>2192</v>
      </c>
      <c r="L68" s="67" t="n">
        <f aca="false">L24*IF(L25=0,(L54+L55)/2,MIN((L54+L55)/2,L25))+(1-L24)*((L54+L55)/2/L26+L27)</f>
        <v>24576</v>
      </c>
      <c r="M68" s="67" t="n">
        <f aca="false">M24*IF(M25=0,(M54+M55)/2,MIN((M54+M55)/2,M25))+(1-M24)*((M54+M55)/2/M26+M27)</f>
        <v>2192</v>
      </c>
      <c r="N68" s="67" t="n">
        <f aca="false">N24*IF(N25=0,(N54+N55)/2,MIN((N54+N55)/2,N25))+(1-N24)*((N54+N55)/2/N26+N27)</f>
        <v>24576</v>
      </c>
      <c r="O68" s="67" t="n">
        <f aca="false">O24*IF(O25=0,(O54+O55)/2,MIN((O54+O55)/2,O25))+(1-O24)*((O54+O55)/2/O26+O27)</f>
        <v>2192</v>
      </c>
      <c r="P68" s="67" t="n">
        <f aca="false">P24*IF(P25=0,(P54+P55)/2,MIN((P54+P55)/2,P25))+(1-P24)*((P54+P55)/2/P26+P27)</f>
        <v>24576</v>
      </c>
      <c r="Q68" s="67" t="n">
        <f aca="false">Q24*IF(Q25=0,(Q54+Q55)/2,MIN((Q54+Q55)/2,Q25))+(1-Q24)*((Q54+Q55)/2/Q26+Q27)</f>
        <v>2192</v>
      </c>
      <c r="R68" s="67" t="n">
        <f aca="false">R24*IF(R25=0,(R54+R55)/2,MIN((R54+R55)/2,R25))+(1-R24)*((R54+R55)/2/R26+R27)</f>
        <v>24576</v>
      </c>
      <c r="S68" s="67" t="n">
        <f aca="false">S24*IF(S25=0,(S54+S55)/2,MIN((S54+S55)/2,S25))+(1-S24)*((S54+S55)/2/S26+S27)</f>
        <v>2192</v>
      </c>
      <c r="T68" s="67" t="n">
        <f aca="false">T24*IF(T25=0,(T54+T55)/2,MIN((T54+T55)/2,T25))+(1-T24)*((T54+T55)/2/T26+T27)</f>
        <v>24576</v>
      </c>
      <c r="U68" s="67" t="n">
        <f aca="false">U24*IF(U25=0,(U54+U55)/2,MIN((U54+U55)/2,U25))+(1-U24)*((U54+U55)/2/U26+U27)</f>
        <v>2192</v>
      </c>
      <c r="V68" s="67" t="n">
        <f aca="false">V24*IF(V25=0,(V54+V55)/2,MIN((V54+V55)/2,V25))+(1-V24)*((V54+V55)/2/V26+V27)</f>
        <v>24576</v>
      </c>
      <c r="W68" s="67" t="n">
        <f aca="false">W24*IF(W25=0,(W54+W55)/2,MIN((W54+W55)/2,W25))+(1-W24)*((W54+W55)/2/W26+W27)</f>
        <v>2192</v>
      </c>
      <c r="X68" s="67" t="n">
        <f aca="false">X24*IF(X25=0,(X54+X55)/2,MIN((X54+X55)/2,X25))+(1-X24)*((X54+X55)/2/X26+X27)</f>
        <v>24576</v>
      </c>
      <c r="Y68" s="67" t="n">
        <f aca="false">Y24*IF(Y25=0,(Y54+Y55)/2,MIN((Y54+Y55)/2,Y25))+(1-Y24)*((Y54+Y55)/2/Y26+Y27)</f>
        <v>2192</v>
      </c>
      <c r="Z68" s="67" t="n">
        <f aca="false">Z24*IF(Z25=0,(Z54+Z55)/2,MIN((Z54+Z55)/2,Z25))+(1-Z24)*((Z54+Z55)/2/Z26+Z27)</f>
        <v>24576</v>
      </c>
      <c r="AA68" s="67" t="n">
        <f aca="false">AA24*IF(AA25=0,(AA54+AA55)/2,MIN((AA54+AA55)/2,AA25))+(1-AA24)*((AA54+AA55)/2/AA26+AA27)</f>
        <v>2192</v>
      </c>
      <c r="AB68" s="67" t="n">
        <f aca="false">AB24*IF(AB25=0,(AB54+AB55)/2,MIN((AB54+AB55)/2,AB25))+(1-AB24)*((AB54+AB55)/2/AB26+AB27)</f>
        <v>24576</v>
      </c>
      <c r="AC68" s="67" t="n">
        <f aca="false">AC24*IF(AC25=0,(AC54+AC55)/2,MIN((AC54+AC55)/2,AC25))+(1-AC24)*((AC54+AC55)/2/AC26+AC27)</f>
        <v>2192</v>
      </c>
      <c r="AD68" s="67" t="n">
        <f aca="false">AD24*IF(AD25=0,(AD54+AD55)/2,MIN((AD54+AD55)/2,AD25))+(1-AD24)*((AD54+AD55)/2/AD26+AD27)</f>
        <v>24576</v>
      </c>
      <c r="AE68" s="67" t="n">
        <f aca="false">AE24*IF(AE25=0,(AE54+AE55)/2,MIN((AE54+AE55)/2,AE25))+(1-AE24)*((AE54+AE55)/2/AE26+AE27)</f>
        <v>2192</v>
      </c>
      <c r="AF68" s="67" t="n">
        <f aca="false">AF24*IF(AF25=0,(AF54+AF55)/2,MIN((AF54+AF55)/2,AF25))+(1-AF24)*((AF54+AF55)/2/AF26+AF27)</f>
        <v>24576</v>
      </c>
      <c r="AG68" s="67" t="n">
        <f aca="false">AG24*IF(AG25=0,(AG54+AG55)/2,MIN((AG54+AG55)/2,AG25))+(1-AG24)*((AG54+AG55)/2/AG26+AG27)</f>
        <v>2192</v>
      </c>
      <c r="AH68" s="67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1" t="s">
        <v>1050</v>
      </c>
      <c r="B69" s="61" t="s">
        <v>493</v>
      </c>
      <c r="C69" s="74" t="n">
        <f aca="false">3*(2*C22*1000000000+C23*C68)*C28/1000000000</f>
        <v>399.155395584</v>
      </c>
      <c r="D69" s="74" t="n">
        <f aca="false">3*(2*D22*1000000000+D23*D68)*D28/1000000000</f>
        <v>1442.3878656</v>
      </c>
      <c r="E69" s="74" t="n">
        <f aca="false">3*(2*E22*1000000000+E23*E68)*E28/1000000000</f>
        <v>399.155395584</v>
      </c>
      <c r="F69" s="74" t="n">
        <f aca="false">3*(2*F22*1000000000+F23*F68)*F28/1000000000</f>
        <v>1442.3878656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399.155395584</v>
      </c>
      <c r="J69" s="74" t="n">
        <f aca="false">3*(2*J22*1000000000+J23*J68)*J28/1000000000</f>
        <v>1442.3878656</v>
      </c>
      <c r="K69" s="74" t="n">
        <f aca="false">3*(2*K22*1000000000+K23*K68)*K28/1000000000</f>
        <v>399.155395584</v>
      </c>
      <c r="L69" s="74" t="n">
        <f aca="false">3*(2*L22*1000000000+L23*L68)*L28/1000000000</f>
        <v>1442.3878656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399.155395584</v>
      </c>
      <c r="P69" s="74" t="n">
        <f aca="false">3*(2*P22*1000000000+P23*P68)*P28/1000000000</f>
        <v>1442.3878656</v>
      </c>
      <c r="Q69" s="74" t="n">
        <f aca="false">3*(2*Q22*1000000000+Q23*Q68)*Q28/1000000000</f>
        <v>399.155395584</v>
      </c>
      <c r="R69" s="74" t="n">
        <f aca="false">3*(2*R22*1000000000+R23*R68)*R28/1000000000</f>
        <v>1442.3878656</v>
      </c>
      <c r="S69" s="74" t="n">
        <f aca="false">3*(2*S22*1000000000+S23*S68)*S28/1000000000</f>
        <v>399.155395584</v>
      </c>
      <c r="T69" s="74" t="n">
        <f aca="false">3*(2*T22*1000000000+T23*T68)*T28/1000000000</f>
        <v>1442.3878656</v>
      </c>
      <c r="U69" s="74" t="n">
        <f aca="false">3*(2*U22*1000000000+U23*U68)*U28/1000000000</f>
        <v>399.155395584</v>
      </c>
      <c r="V69" s="74" t="n">
        <f aca="false">3*(2*V22*1000000000+V23*V68)*V28/1000000000</f>
        <v>1442.3878656</v>
      </c>
      <c r="W69" s="74" t="n">
        <f aca="false">3*(2*W22*1000000000+W23*W68)*W28/1000000000</f>
        <v>399.155395584</v>
      </c>
      <c r="X69" s="74" t="n">
        <f aca="false">3*(2*X22*1000000000+X23*X68)*X28/1000000000</f>
        <v>1442.3878656</v>
      </c>
      <c r="Y69" s="74" t="n">
        <f aca="false">3*(2*Y22*1000000000+Y23*Y68)*Y28/1000000000</f>
        <v>399.155395584</v>
      </c>
      <c r="Z69" s="74" t="n">
        <f aca="false">3*(2*Z22*1000000000+Z23*Z68)*Z28/1000000000</f>
        <v>1442.3878656</v>
      </c>
      <c r="AA69" s="74" t="n">
        <f aca="false">3*(2*AA22*1000000000+AA23*AA68)*AA28/1000000000</f>
        <v>399.155395584</v>
      </c>
      <c r="AB69" s="74" t="n">
        <f aca="false">3*(2*AB22*1000000000+AB23*AB68)*AB28/1000000000</f>
        <v>1442.3878656</v>
      </c>
      <c r="AC69" s="74" t="n">
        <f aca="false">3*(2*AC22*1000000000+AC23*AC68)*AC28/1000000000</f>
        <v>399.155395584</v>
      </c>
      <c r="AD69" s="74" t="n">
        <f aca="false">3*(2*AD22*1000000000+AD23*AD68)*AD28/1000000000</f>
        <v>1442.3878656</v>
      </c>
      <c r="AE69" s="74" t="n">
        <f aca="false">3*(2*AE22*1000000000+AE23*AE68)*AE28/1000000000</f>
        <v>399.155395584</v>
      </c>
      <c r="AF69" s="74" t="n">
        <f aca="false">3*(2*AF22*1000000000+AF23*AF68)*AF28/1000000000</f>
        <v>1442.3878656</v>
      </c>
      <c r="AG69" s="74" t="n">
        <f aca="false">3*(2*AG22*1000000000+AG23*AG68)*AG28/1000000000</f>
        <v>399.155395584</v>
      </c>
      <c r="AH69" s="74" t="n">
        <f aca="false">3*(2*AH22*1000000000+AH23*AH68)*AH28/1000000000</f>
        <v>1442.3878656</v>
      </c>
    </row>
    <row r="70" customFormat="false" ht="15" hidden="false" customHeight="false" outlineLevel="0" collapsed="false">
      <c r="A70" s="61" t="s">
        <v>1051</v>
      </c>
      <c r="B70" s="61" t="s">
        <v>314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1" t="s">
        <v>1052</v>
      </c>
      <c r="B71" s="61" t="s">
        <v>103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1" t="s">
        <v>1053</v>
      </c>
      <c r="B72" s="61" t="s">
        <v>1023</v>
      </c>
      <c r="C72" s="67" t="n">
        <f aca="false">C70/(C12*1000000000000000*C16*C71*C17)/3600</f>
        <v>184598.61524167</v>
      </c>
      <c r="D72" s="67" t="n">
        <f aca="false">D70/(D12*1000000000000000*D16*D71*D17)/3600</f>
        <v>2713486.87238095</v>
      </c>
      <c r="E72" s="67" t="n">
        <f aca="false">E70/(E12*1000000000000000*E16*E71*E17)/3600</f>
        <v>307664.358736116</v>
      </c>
      <c r="F72" s="67" t="n">
        <f aca="false">F70/(F12*1000000000000000*F16*F71*F17)/3600</f>
        <v>4522478.12063492</v>
      </c>
      <c r="G72" s="67" t="n">
        <f aca="false">G70/(G12*1000000000000000*G16*G71*G17)/3600</f>
        <v>115374.134526044</v>
      </c>
      <c r="H72" s="67" t="n">
        <f aca="false">H70/(H12*1000000000000000*H16*H71*H17)/3600</f>
        <v>1695929.29523809</v>
      </c>
      <c r="I72" s="67" t="n">
        <f aca="false">I70/(I12*1000000000000000*I16*I71*I17)/3600</f>
        <v>92299.3076208348</v>
      </c>
      <c r="J72" s="67" t="n">
        <f aca="false">J70/(J12*1000000000000000*J16*J71*J17)/3600</f>
        <v>1356743.43619048</v>
      </c>
      <c r="K72" s="67" t="n">
        <f aca="false">K70/(K12*1000000000000000*K16*K71*K17)/3600</f>
        <v>184598.61524167</v>
      </c>
      <c r="L72" s="67" t="n">
        <f aca="false">L70/(L12*1000000000000000*L16*L71*L17)/3600</f>
        <v>2713486.87238095</v>
      </c>
      <c r="M72" s="67" t="n">
        <f aca="false">M70/(M12*1000000000000000*M16*M71*M17)/3600</f>
        <v>184598.61524167</v>
      </c>
      <c r="N72" s="67" t="n">
        <f aca="false">N70/(N12*1000000000000000*N16*N71*N17)/3600</f>
        <v>2713486.87238095</v>
      </c>
      <c r="O72" s="67" t="n">
        <f aca="false">O70/(O12*1000000000000000*O16*O71*O17)/3600</f>
        <v>55379.5845725009</v>
      </c>
      <c r="P72" s="67" t="n">
        <f aca="false">P70/(P12*1000000000000000*P16*P71*P17)/3600</f>
        <v>814046.061714286</v>
      </c>
      <c r="Q72" s="67" t="n">
        <f aca="false">Q70/(Q12*1000000000000000*Q16*Q71*Q17)/3600</f>
        <v>553795.845725009</v>
      </c>
      <c r="R72" s="67" t="n">
        <f aca="false">R70/(R12*1000000000000000*R16*R71*R17)/3600</f>
        <v>8140460.61714286</v>
      </c>
      <c r="S72" s="67" t="n">
        <f aca="false">S70/(S12*1000000000000000*S16*S71*S17)/3600</f>
        <v>184598.61524167</v>
      </c>
      <c r="T72" s="67" t="n">
        <f aca="false">T70/(T12*1000000000000000*T16*T71*T17)/3600</f>
        <v>2713486.87238095</v>
      </c>
      <c r="U72" s="67" t="n">
        <f aca="false">U70/(U12*1000000000000000*U16*U71*U17)/3600</f>
        <v>184598.61524167</v>
      </c>
      <c r="V72" s="67" t="n">
        <f aca="false">V70/(V12*1000000000000000*V16*V71*V17)/3600</f>
        <v>2713486.87238095</v>
      </c>
      <c r="W72" s="67" t="n">
        <f aca="false">W70/(W12*1000000000000000*W16*W71*W17)/3600</f>
        <v>184598.61524167</v>
      </c>
      <c r="X72" s="67" t="n">
        <f aca="false">X70/(X12*1000000000000000*X16*X71*X17)/3600</f>
        <v>2713486.87238095</v>
      </c>
      <c r="Y72" s="67" t="n">
        <f aca="false">Y70/(Y12*1000000000000000*Y16*Y71*Y17)/3600</f>
        <v>184598.61524167</v>
      </c>
      <c r="Z72" s="67" t="n">
        <f aca="false">Z70/(Z12*1000000000000000*Z16*Z71*Z17)/3600</f>
        <v>2713486.87238095</v>
      </c>
      <c r="AA72" s="67" t="n">
        <f aca="false">AA70/(AA12*1000000000000000*AA16*AA71*AA17)/3600</f>
        <v>184598.61524167</v>
      </c>
      <c r="AB72" s="67" t="n">
        <f aca="false">AB70/(AB12*1000000000000000*AB16*AB71*AB17)/3600</f>
        <v>2713486.87238095</v>
      </c>
      <c r="AC72" s="67" t="n">
        <f aca="false">AC70/(AC12*1000000000000000*AC16*AC71*AC17)/3600</f>
        <v>184598.61524167</v>
      </c>
      <c r="AD72" s="67" t="n">
        <f aca="false">AD70/(AD12*1000000000000000*AD16*AD71*AD17)/3600</f>
        <v>2713486.87238095</v>
      </c>
      <c r="AE72" s="67" t="n">
        <f aca="false">AE70/(AE12*1000000000000000*AE16*AE71*AE17)/3600</f>
        <v>184598.61524167</v>
      </c>
      <c r="AF72" s="67" t="n">
        <f aca="false">AF70/(AF12*1000000000000000*AF16*AF71*AF17)/3600</f>
        <v>2713486.87238095</v>
      </c>
      <c r="AG72" s="67" t="n">
        <f aca="false">AG70/(AG12*1000000000000000*AG16*AG71*AG17)/3600</f>
        <v>207673.442146878</v>
      </c>
      <c r="AH72" s="67" t="n">
        <f aca="false">AH70/(AH12*1000000000000000*AH16*AH71*AH17)/3600</f>
        <v>3052672.73142857</v>
      </c>
    </row>
    <row r="73" customFormat="false" ht="15" hidden="false" customHeight="false" outlineLevel="0" collapsed="false">
      <c r="A73" s="60" t="s">
        <v>1054</v>
      </c>
      <c r="B73" s="60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  <c r="R73" s="89" t="n">
        <f aca="false">Train_In!$C$10</f>
        <v>0</v>
      </c>
      <c r="S73" s="89" t="n">
        <f aca="false">Train_In!$C$10</f>
        <v>0</v>
      </c>
      <c r="T73" s="89" t="n">
        <f aca="false">Train_In!$C$10</f>
        <v>0</v>
      </c>
      <c r="U73" s="89" t="n">
        <f aca="false">Train_In!$C$10</f>
        <v>0</v>
      </c>
      <c r="V73" s="89" t="n">
        <f aca="false">Train_In!$C$10</f>
        <v>0</v>
      </c>
      <c r="W73" s="89" t="n">
        <f aca="false">Train_In!$C$10</f>
        <v>0</v>
      </c>
      <c r="X73" s="89" t="n">
        <f aca="false">Train_In!$C$10</f>
        <v>0</v>
      </c>
      <c r="Y73" s="89" t="n">
        <f aca="false">Train_In!$C$10</f>
        <v>0</v>
      </c>
      <c r="Z73" s="89" t="n">
        <f aca="false">Train_In!$C$10</f>
        <v>0</v>
      </c>
      <c r="AA73" s="89" t="n">
        <f aca="false">Train_In!$C$10</f>
        <v>0</v>
      </c>
      <c r="AB73" s="89" t="n">
        <f aca="false">Train_In!$C$10</f>
        <v>0</v>
      </c>
      <c r="AC73" s="89" t="n">
        <f aca="false">Train_In!$C$10</f>
        <v>0</v>
      </c>
      <c r="AD73" s="89" t="n">
        <f aca="false">Train_In!$C$10</f>
        <v>0</v>
      </c>
      <c r="AE73" s="89" t="n">
        <f aca="false">Train_In!$C$10</f>
        <v>0</v>
      </c>
      <c r="AF73" s="89" t="n">
        <f aca="false">Train_In!$C$10</f>
        <v>0</v>
      </c>
      <c r="AG73" s="89" t="n">
        <f aca="false">Train_In!$C$10</f>
        <v>0</v>
      </c>
      <c r="AH73" s="89" t="n">
        <f aca="false">Train_In!$C$10</f>
        <v>0</v>
      </c>
    </row>
    <row r="74" customFormat="false" ht="15" hidden="false" customHeight="false" outlineLevel="0" collapsed="false">
      <c r="A74" s="60" t="s">
        <v>1055</v>
      </c>
      <c r="B74" s="61" t="s">
        <v>1023</v>
      </c>
      <c r="C74" s="67" t="n">
        <f aca="false">C73*C72/3</f>
        <v>0</v>
      </c>
      <c r="D74" s="67" t="n">
        <f aca="false">D73*D72/3</f>
        <v>0</v>
      </c>
      <c r="E74" s="67" t="n">
        <f aca="false">E73*E72/3</f>
        <v>0</v>
      </c>
      <c r="F74" s="67" t="n">
        <f aca="false">F73*F72/3</f>
        <v>0</v>
      </c>
      <c r="G74" s="67" t="n">
        <f aca="false">G73*G72/3</f>
        <v>0</v>
      </c>
      <c r="H74" s="67" t="n">
        <f aca="false">H73*H72/3</f>
        <v>0</v>
      </c>
      <c r="I74" s="67" t="n">
        <f aca="false">I73*I72/3</f>
        <v>0</v>
      </c>
      <c r="J74" s="67" t="n">
        <f aca="false">J73*J72/3</f>
        <v>0</v>
      </c>
      <c r="K74" s="67" t="n">
        <f aca="false">K73*K72/3</f>
        <v>0</v>
      </c>
      <c r="L74" s="67" t="n">
        <f aca="false">L73*L72/3</f>
        <v>0</v>
      </c>
      <c r="M74" s="67" t="n">
        <f aca="false">M73*M72/3</f>
        <v>0</v>
      </c>
      <c r="N74" s="67" t="n">
        <f aca="false">N73*N72/3</f>
        <v>0</v>
      </c>
      <c r="O74" s="67" t="n">
        <f aca="false">O73*O72/3</f>
        <v>0</v>
      </c>
      <c r="P74" s="67" t="n">
        <f aca="false">P73*P72/3</f>
        <v>0</v>
      </c>
      <c r="Q74" s="67" t="n">
        <f aca="false">Q73*Q72/3</f>
        <v>0</v>
      </c>
      <c r="R74" s="67" t="n">
        <f aca="false">R73*R72/3</f>
        <v>0</v>
      </c>
      <c r="S74" s="67" t="n">
        <f aca="false">S73*S72/3</f>
        <v>0</v>
      </c>
      <c r="T74" s="67" t="n">
        <f aca="false">T73*T72/3</f>
        <v>0</v>
      </c>
      <c r="U74" s="67" t="n">
        <f aca="false">U73*U72/3</f>
        <v>0</v>
      </c>
      <c r="V74" s="67" t="n">
        <f aca="false">V73*V72/3</f>
        <v>0</v>
      </c>
      <c r="W74" s="67" t="n">
        <f aca="false">W73*W72/3</f>
        <v>0</v>
      </c>
      <c r="X74" s="67" t="n">
        <f aca="false">X73*X72/3</f>
        <v>0</v>
      </c>
      <c r="Y74" s="67" t="n">
        <f aca="false">Y73*Y72/3</f>
        <v>0</v>
      </c>
      <c r="Z74" s="67" t="n">
        <f aca="false">Z73*Z72/3</f>
        <v>0</v>
      </c>
      <c r="AA74" s="67" t="n">
        <f aca="false">AA73*AA72/3</f>
        <v>0</v>
      </c>
      <c r="AB74" s="67" t="n">
        <f aca="false">AB73*AB72/3</f>
        <v>0</v>
      </c>
      <c r="AC74" s="67" t="n">
        <f aca="false">AC73*AC72/3</f>
        <v>0</v>
      </c>
      <c r="AD74" s="67" t="n">
        <f aca="false">AD73*AD72/3</f>
        <v>0</v>
      </c>
      <c r="AE74" s="67" t="n">
        <f aca="false">AE73*AE72/3</f>
        <v>0</v>
      </c>
      <c r="AF74" s="67" t="n">
        <f aca="false">AF73*AF72/3</f>
        <v>0</v>
      </c>
      <c r="AG74" s="67" t="n">
        <f aca="false">AG73*AG72/3</f>
        <v>0</v>
      </c>
      <c r="AH74" s="67" t="n">
        <f aca="false">AH73*AH72/3</f>
        <v>0</v>
      </c>
    </row>
    <row r="75" customFormat="false" ht="15" hidden="false" customHeight="false" outlineLevel="0" collapsed="false">
      <c r="A75" s="61" t="s">
        <v>1056</v>
      </c>
      <c r="B75" s="61" t="s">
        <v>1023</v>
      </c>
      <c r="C75" s="70" t="n">
        <f aca="false">IF(AND(ISNUMBER(C65)),C65+C72+C74,"SLO 不可達")</f>
        <v>376831.791251579</v>
      </c>
      <c r="D75" s="70" t="n">
        <f aca="false">IF(AND(ISNUMBER(D65)),D65+D72+D74,"SLO 不可達")</f>
        <v>6045499.10516714</v>
      </c>
      <c r="E75" s="70" t="n">
        <f aca="false">IF(AND(ISNUMBER(E65)),E65+E72+E74,"SLO 不可達")</f>
        <v>499897.534746025</v>
      </c>
      <c r="F75" s="70" t="n">
        <f aca="false">IF(AND(ISNUMBER(F65)),F65+F72+F74,"SLO 不可達")</f>
        <v>7854490.3534211</v>
      </c>
      <c r="G75" s="70" t="n">
        <f aca="false">IF(AND(ISNUMBER(G65)),G65+G72+G74,"SLO 不可達")</f>
        <v>307607.310535952</v>
      </c>
      <c r="H75" s="70" t="n">
        <f aca="false">IF(AND(ISNUMBER(H65)),H65+H72+H74,"SLO 不可達")</f>
        <v>5027941.52802428</v>
      </c>
      <c r="I75" s="70" t="n">
        <f aca="false">IF(AND(ISNUMBER(I65)),I65+I72+I74,"SLO 不可達")</f>
        <v>284532.483630744</v>
      </c>
      <c r="J75" s="70" t="n">
        <f aca="false">IF(AND(ISNUMBER(J65)),J65+J72+J74,"SLO 不可達")</f>
        <v>4688755.66897666</v>
      </c>
      <c r="K75" s="70" t="n">
        <f aca="false">IF(AND(ISNUMBER(K65)),K65+K72+K74,"SLO 不可達")</f>
        <v>376831.791251579</v>
      </c>
      <c r="L75" s="70" t="n">
        <f aca="false">IF(AND(ISNUMBER(L65)),L65+L72+L74,"SLO 不可達")</f>
        <v>6045499.10516714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113049.537375474</v>
      </c>
      <c r="P75" s="70" t="n">
        <f aca="false">IF(AND(ISNUMBER(P65)),P65+P72+P74,"SLO 不可達")</f>
        <v>1813649.73155014</v>
      </c>
      <c r="Q75" s="70" t="n">
        <f aca="false">IF(AND(ISNUMBER(Q65)),Q65+Q72+Q74,"SLO 不可達")</f>
        <v>1130495.37375474</v>
      </c>
      <c r="R75" s="70" t="n">
        <f aca="false">IF(AND(ISNUMBER(R65)),R65+R72+R74,"SLO 不可達")</f>
        <v>18136497.3155014</v>
      </c>
      <c r="S75" s="70" t="n">
        <f aca="false">IF(AND(ISNUMBER(S65)),S65+S72+S74,"SLO 不可達")</f>
        <v>456928.947922374</v>
      </c>
      <c r="T75" s="70" t="n">
        <f aca="false">IF(AND(ISNUMBER(T65)),T65+T72+T74,"SLO 不可達")</f>
        <v>7433837.53549471</v>
      </c>
      <c r="U75" s="70" t="n">
        <f aca="false">IF(AND(ISNUMBER(U65)),U65+U72+U74,"SLO 不可達")</f>
        <v>356596.720092641</v>
      </c>
      <c r="V75" s="70" t="n">
        <f aca="false">IF(AND(ISNUMBER(V65)),V65+V72+V74,"SLO 不可達")</f>
        <v>5694760.97540017</v>
      </c>
      <c r="W75" s="70" t="n">
        <f aca="false">IF(AND(ISNUMBER(W65)),W65+W72+W74,"SLO 不可達")</f>
        <v>475596.782428002</v>
      </c>
      <c r="X75" s="70" t="n">
        <f aca="false">IF(AND(ISNUMBER(X65)),X65+X72+X74,"SLO 不可達")</f>
        <v>7783413.80598243</v>
      </c>
      <c r="Y75" s="70" t="n">
        <f aca="false">IF(AND(ISNUMBER(Y65)),Y65+Y72+Y74,"SLO 不可達")</f>
        <v>376831.791251579</v>
      </c>
      <c r="Z75" s="70" t="n">
        <f aca="false">IF(AND(ISNUMBER(Z65)),Z65+Z72+Z74,"SLO 不可達")</f>
        <v>6045499.10516714</v>
      </c>
      <c r="AA75" s="70" t="n">
        <f aca="false">IF(AND(ISNUMBER(AA65)),AA65+AA72+AA74,"SLO 不可達")</f>
        <v>376831.791251579</v>
      </c>
      <c r="AB75" s="70" t="n">
        <f aca="false">IF(AND(ISNUMBER(AB65)),AB65+AB72+AB74,"SLO 不可達")</f>
        <v>6045499.10516714</v>
      </c>
      <c r="AC75" s="70" t="n">
        <f aca="false">IF(AND(ISNUMBER(AC65)),AC65+AC72+AC74,"SLO 不可達")</f>
        <v>376831.791251579</v>
      </c>
      <c r="AD75" s="70" t="n">
        <f aca="false">IF(AND(ISNUMBER(AD65)),AD65+AD72+AD74,"SLO 不可達")</f>
        <v>6045499.10516714</v>
      </c>
      <c r="AE75" s="70" t="n">
        <f aca="false">IF(AND(ISNUMBER(AE65)),AE65+AE72+AE74,"SLO 不可達")</f>
        <v>376831.791251579</v>
      </c>
      <c r="AF75" s="70" t="n">
        <f aca="false">IF(AND(ISNUMBER(AF65)),AF65+AF72+AF74,"SLO 不可達")</f>
        <v>6045499.10516714</v>
      </c>
      <c r="AG75" s="70" t="n">
        <f aca="false">IF(AND(ISNUMBER(AG65)),AG65+AG72+AG74,"SLO 不可達")</f>
        <v>399906.618156787</v>
      </c>
      <c r="AH75" s="70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1" t="s">
        <v>1057</v>
      </c>
      <c r="B76" s="61" t="s">
        <v>314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1" t="s">
        <v>1058</v>
      </c>
      <c r="B77" s="61" t="s">
        <v>99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0.0551645041626229</v>
      </c>
      <c r="F77" s="101" t="n">
        <f aca="false">IF(AND(ISNUMBER(F75)),F76/(F75*3600*F12*1000000000000000),"SLO 不可達")</f>
        <v>0.0523260548994102</v>
      </c>
      <c r="G77" s="101" t="n">
        <f aca="false">IF(AND(ISNUMBER(G75)),G76/(G75*3600*G12*1000000000000000),"SLO 不可達")</f>
        <v>0.0896487134468116</v>
      </c>
      <c r="H77" s="101" t="n">
        <f aca="false">IF(AND(ISNUMBER(H75)),H76/(H75*3600*H12*1000000000000000),"SLO 不可達")</f>
        <v>0.0817420988587947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1" t="s">
        <v>1059</v>
      </c>
      <c r="B78" s="61" t="s">
        <v>103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0.29561320808171</v>
      </c>
      <c r="F78" s="104" t="n">
        <f aca="false">IF(AND(ISNUMBER(F75)),F75/F36,"SLO 不可達")</f>
        <v>0.878672732256604</v>
      </c>
      <c r="G78" s="104" t="n">
        <f aca="false">IF(AND(ISNUMBER(G75)),G75/G36,"SLO 不可達")</f>
        <v>0.485074253963496</v>
      </c>
      <c r="H78" s="104" t="n">
        <f aca="false">IF(AND(ISNUMBER(H75)),H75/H36,"SLO 不可達")</f>
        <v>1.49991997656263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1" t="s">
        <v>1060</v>
      </c>
      <c r="B79" s="61" t="s">
        <v>103</v>
      </c>
      <c r="C79" s="76" t="n">
        <f aca="false">C76/C35</f>
        <v>0.134216922203702</v>
      </c>
      <c r="D79" s="76" t="n">
        <f aca="false">D76/D35</f>
        <v>0.37841545371748</v>
      </c>
      <c r="E79" s="76" t="n">
        <f aca="false">E76/E35</f>
        <v>0.134216922203702</v>
      </c>
      <c r="F79" s="76" t="n">
        <f aca="false">F76/F35</f>
        <v>0.37841545371748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0.134216922203702</v>
      </c>
      <c r="J79" s="76" t="n">
        <f aca="false">J76/J35</f>
        <v>0.37841545371748</v>
      </c>
      <c r="K79" s="76" t="n">
        <f aca="false">K76/K35</f>
        <v>0.268433844407404</v>
      </c>
      <c r="L79" s="76" t="n">
        <f aca="false">L76/L35</f>
        <v>0.756830907434959</v>
      </c>
      <c r="M79" s="76" t="n">
        <f aca="false">M76/M35</f>
        <v>0.0803694144932346</v>
      </c>
      <c r="N79" s="76" t="n">
        <f aca="false">N76/N35</f>
        <v>0.226596080070347</v>
      </c>
      <c r="O79" s="76" t="n">
        <f aca="false">O76/O35</f>
        <v>0.0402650766611105</v>
      </c>
      <c r="P79" s="76" t="n">
        <f aca="false">P76/P35</f>
        <v>0.113524636115244</v>
      </c>
      <c r="Q79" s="76" t="n">
        <f aca="false">Q76/Q35</f>
        <v>0.402650766611105</v>
      </c>
      <c r="R79" s="76" t="n">
        <f aca="false">R76/R35</f>
        <v>1.13524636115244</v>
      </c>
      <c r="S79" s="76" t="n">
        <f aca="false">S76/S35</f>
        <v>0.134216922203702</v>
      </c>
      <c r="T79" s="76" t="n">
        <f aca="false">T76/T35</f>
        <v>0.37841545371748</v>
      </c>
      <c r="U79" s="76" t="n">
        <f aca="false">U76/U35</f>
        <v>0.134216922203702</v>
      </c>
      <c r="V79" s="76" t="n">
        <f aca="false">V76/V35</f>
        <v>0.37841545371748</v>
      </c>
      <c r="W79" s="76" t="n">
        <f aca="false">W76/W35</f>
        <v>0.134216922203702</v>
      </c>
      <c r="X79" s="76" t="n">
        <f aca="false">X76/X35</f>
        <v>0.37841545371748</v>
      </c>
      <c r="Y79" s="76" t="n">
        <f aca="false">Y76/Y35</f>
        <v>0.134216922203702</v>
      </c>
      <c r="Z79" s="76" t="n">
        <f aca="false">Z76/Z35</f>
        <v>0.37841545371748</v>
      </c>
      <c r="AA79" s="76" t="n">
        <f aca="false">AA76/AA35</f>
        <v>0.134216922203702</v>
      </c>
      <c r="AB79" s="76" t="n">
        <f aca="false">AB76/AB35</f>
        <v>0.37841545371748</v>
      </c>
      <c r="AC79" s="76" t="n">
        <f aca="false">AC76/AC35</f>
        <v>0.134216922203702</v>
      </c>
      <c r="AD79" s="76" t="n">
        <f aca="false">AD76/AD35</f>
        <v>0.37841545371748</v>
      </c>
      <c r="AE79" s="76" t="n">
        <f aca="false">AE76/AE35</f>
        <v>0.134216922203702</v>
      </c>
      <c r="AF79" s="76" t="n">
        <f aca="false">AF76/AF35</f>
        <v>0.37841545371748</v>
      </c>
      <c r="AG79" s="76" t="n">
        <f aca="false">AG76/AG35</f>
        <v>0.134216922203702</v>
      </c>
      <c r="AH79" s="76" t="n">
        <f aca="false">AH76/AH35</f>
        <v>0.37841545371748</v>
      </c>
    </row>
    <row r="80" customFormat="false" ht="15" hidden="false" customHeight="false" outlineLevel="0" collapsed="false">
      <c r="A80" s="75" t="s">
        <v>1061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</row>
    <row r="81" customFormat="false" ht="15" hidden="false" customHeight="false" outlineLevel="0" collapsed="false">
      <c r="A81" s="60" t="s">
        <v>1062</v>
      </c>
      <c r="B81" s="61" t="s">
        <v>954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0" t="s">
        <v>1063</v>
      </c>
      <c r="B82" s="60"/>
      <c r="C82" s="89" t="n">
        <f aca="false">INDEX(Train_In!$C$36:$E$36,C$7)</f>
        <v>2</v>
      </c>
      <c r="D82" s="89" t="n">
        <f aca="false">INDEX(Train_In!$C$36:$E$36,D$7)</f>
        <v>3</v>
      </c>
      <c r="E82" s="89" t="n">
        <f aca="false">INDEX(Train_In!$C$36:$E$36,E$7)</f>
        <v>2</v>
      </c>
      <c r="F82" s="89" t="n">
        <f aca="false">INDEX(Train_In!$C$36:$E$36,F$7)</f>
        <v>3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2</v>
      </c>
      <c r="J82" s="89" t="n">
        <f aca="false">INDEX(Train_In!$C$36:$E$36,J$7)</f>
        <v>3</v>
      </c>
      <c r="K82" s="89" t="n">
        <f aca="false">INDEX(Train_In!$C$36:$E$36,K$7)</f>
        <v>2</v>
      </c>
      <c r="L82" s="89" t="n">
        <f aca="false">INDEX(Train_In!$C$36:$E$36,L$7)</f>
        <v>3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2</v>
      </c>
      <c r="P82" s="89" t="n">
        <f aca="false">INDEX(Train_In!$C$36:$E$36,P$7)</f>
        <v>3</v>
      </c>
      <c r="Q82" s="89" t="n">
        <f aca="false">INDEX(Train_In!$C$36:$E$36,Q$7)</f>
        <v>2</v>
      </c>
      <c r="R82" s="89" t="n">
        <f aca="false">INDEX(Train_In!$C$36:$E$36,R$7)</f>
        <v>3</v>
      </c>
      <c r="S82" s="89" t="n">
        <f aca="false">INDEX(Train_In!$C$36:$E$36,S$7)</f>
        <v>2</v>
      </c>
      <c r="T82" s="89" t="n">
        <f aca="false">INDEX(Train_In!$C$36:$E$36,T$7)</f>
        <v>3</v>
      </c>
      <c r="U82" s="89" t="n">
        <f aca="false">INDEX(Train_In!$C$36:$E$36,U$7)</f>
        <v>2</v>
      </c>
      <c r="V82" s="89" t="n">
        <f aca="false">INDEX(Train_In!$C$36:$E$36,V$7)</f>
        <v>3</v>
      </c>
      <c r="W82" s="89" t="n">
        <f aca="false">INDEX(Train_In!$C$36:$E$36,W$7)</f>
        <v>2</v>
      </c>
      <c r="X82" s="89" t="n">
        <f aca="false">INDEX(Train_In!$C$36:$E$36,X$7)</f>
        <v>3</v>
      </c>
      <c r="Y82" s="89" t="n">
        <f aca="false">INDEX(Train_In!$C$36:$E$36,Y$7)</f>
        <v>2</v>
      </c>
      <c r="Z82" s="89" t="n">
        <f aca="false">INDEX(Train_In!$C$36:$E$36,Z$7)</f>
        <v>3</v>
      </c>
      <c r="AA82" s="89" t="n">
        <f aca="false">INDEX(Train_In!$C$36:$E$36,AA$7)</f>
        <v>2</v>
      </c>
      <c r="AB82" s="89" t="n">
        <f aca="false">INDEX(Train_In!$C$36:$E$36,AB$7)</f>
        <v>3</v>
      </c>
      <c r="AC82" s="89" t="n">
        <f aca="false">INDEX(Train_In!$C$36:$E$36,AC$7)</f>
        <v>2</v>
      </c>
      <c r="AD82" s="89" t="n">
        <f aca="false">INDEX(Train_In!$C$36:$E$36,AD$7)</f>
        <v>3</v>
      </c>
      <c r="AE82" s="89" t="n">
        <f aca="false">INDEX(Train_In!$C$36:$E$36,AE$7)</f>
        <v>2</v>
      </c>
      <c r="AF82" s="89" t="n">
        <f aca="false">INDEX(Train_In!$C$36:$E$36,AF$7)</f>
        <v>3</v>
      </c>
      <c r="AG82" s="89" t="n">
        <f aca="false">INDEX(Train_In!$C$36:$E$36,AG$7)</f>
        <v>2</v>
      </c>
      <c r="AH82" s="89" t="n">
        <f aca="false">INDEX(Train_In!$C$36:$E$36,AH$7)</f>
        <v>3</v>
      </c>
    </row>
    <row r="83" customFormat="false" ht="15" hidden="false" customHeight="false" outlineLevel="0" collapsed="false">
      <c r="A83" s="60" t="s">
        <v>1064</v>
      </c>
      <c r="B83" s="61" t="s">
        <v>954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  <c r="R83" s="71" t="n">
        <f aca="false">R81*1000000000000/R55*(R54+R55)/1000000000000</f>
        <v>0.3</v>
      </c>
      <c r="S83" s="71" t="n">
        <f aca="false">S81*1000000000000/S55*(S54+S55)/1000000000000</f>
        <v>0.3</v>
      </c>
      <c r="T83" s="71" t="n">
        <f aca="false">T81*1000000000000/T55*(T54+T55)/1000000000000</f>
        <v>0.3</v>
      </c>
      <c r="U83" s="71" t="n">
        <f aca="false">U81*1000000000000/U55*(U54+U55)/1000000000000</f>
        <v>0.3</v>
      </c>
      <c r="V83" s="71" t="n">
        <f aca="false">V81*1000000000000/V55*(V54+V55)/1000000000000</f>
        <v>0.3</v>
      </c>
      <c r="W83" s="71" t="n">
        <f aca="false">W81*1000000000000/W55*(W54+W55)/1000000000000</f>
        <v>0.3</v>
      </c>
      <c r="X83" s="71" t="n">
        <f aca="false">X81*1000000000000/X55*(X54+X55)/1000000000000</f>
        <v>0.3</v>
      </c>
      <c r="Y83" s="71" t="n">
        <f aca="false">Y81*1000000000000/Y55*(Y54+Y55)/1000000000000</f>
        <v>0.3</v>
      </c>
      <c r="Z83" s="71" t="n">
        <f aca="false">Z81*1000000000000/Z55*(Z54+Z55)/1000000000000</f>
        <v>0.3</v>
      </c>
      <c r="AA83" s="71" t="n">
        <f aca="false">AA81*1000000000000/AA55*(AA54+AA55)/1000000000000</f>
        <v>0.3</v>
      </c>
      <c r="AB83" s="71" t="n">
        <f aca="false">AB81*1000000000000/AB55*(AB54+AB55)/1000000000000</f>
        <v>0.3</v>
      </c>
      <c r="AC83" s="71" t="n">
        <f aca="false">AC81*1000000000000/AC55*(AC54+AC55)/1000000000000</f>
        <v>0.3</v>
      </c>
      <c r="AD83" s="71" t="n">
        <f aca="false">AD81*1000000000000/AD55*(AD54+AD55)/1000000000000</f>
        <v>0.3</v>
      </c>
      <c r="AE83" s="71" t="n">
        <f aca="false">AE81*1000000000000/AE55*(AE54+AE55)/1000000000000</f>
        <v>0.3</v>
      </c>
      <c r="AF83" s="71" t="n">
        <f aca="false">AF81*1000000000000/AF55*(AF54+AF55)/1000000000000</f>
        <v>0.3</v>
      </c>
      <c r="AG83" s="71" t="n">
        <f aca="false">AG81*1000000000000/AG55*(AG54+AG55)/1000000000000</f>
        <v>0.3</v>
      </c>
      <c r="AH83" s="71" t="n">
        <f aca="false">AH81*1000000000000/AH55*(AH54+AH55)/1000000000000</f>
        <v>0.3</v>
      </c>
    </row>
    <row r="84" customFormat="false" ht="15" hidden="false" customHeight="false" outlineLevel="0" collapsed="false">
      <c r="A84" s="60" t="s">
        <v>1065</v>
      </c>
      <c r="B84" s="61" t="s">
        <v>803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0" t="s">
        <v>1066</v>
      </c>
      <c r="B85" s="61" t="s">
        <v>493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0" t="s">
        <v>1067</v>
      </c>
      <c r="B86" s="61" t="s">
        <v>1023</v>
      </c>
      <c r="C86" s="67" t="n">
        <f aca="false">IF(AND(ISNUMBER(C59)),C81*1000000*C59/3600/C64,"SLO 不可達")</f>
        <v>16265.3626052943</v>
      </c>
      <c r="D86" s="67" t="n">
        <f aca="false">IF(AND(ISNUMBER(D59)),D81*1000000*D59/3600/D64,"SLO 不可達")</f>
        <v>69339.0610047075</v>
      </c>
      <c r="E86" s="67" t="n">
        <f aca="false">IF(AND(ISNUMBER(E59)),E81*1000000*E59/3600/E64,"SLO 不可達")</f>
        <v>16265.3626052943</v>
      </c>
      <c r="F86" s="67" t="n">
        <f aca="false">IF(AND(ISNUMBER(F59)),F81*1000000*F59/3600/F64,"SLO 不可達")</f>
        <v>69339.0610047075</v>
      </c>
      <c r="G86" s="67" t="n">
        <f aca="false">IF(AND(ISNUMBER(G59)),G81*1000000*G59/3600/G64,"SLO 不可達")</f>
        <v>16265.3626052943</v>
      </c>
      <c r="H86" s="67" t="n">
        <f aca="false">IF(AND(ISNUMBER(H59)),H81*1000000*H59/3600/H64,"SLO 不可達")</f>
        <v>69339.0610047075</v>
      </c>
      <c r="I86" s="67" t="n">
        <f aca="false">IF(AND(ISNUMBER(I59)),I81*1000000*I59/3600/I64,"SLO 不可達")</f>
        <v>16265.3626052943</v>
      </c>
      <c r="J86" s="67" t="n">
        <f aca="false">IF(AND(ISNUMBER(J59)),J81*1000000*J59/3600/J64,"SLO 不可達")</f>
        <v>69339.0610047075</v>
      </c>
      <c r="K86" s="67" t="n">
        <f aca="false">IF(AND(ISNUMBER(K59)),K81*1000000*K59/3600/K64,"SLO 不可達")</f>
        <v>16265.3626052943</v>
      </c>
      <c r="L86" s="67" t="n">
        <f aca="false">IF(AND(ISNUMBER(L59)),L81*1000000*L59/3600/L64,"SLO 不可達")</f>
        <v>69339.0610047075</v>
      </c>
      <c r="M86" s="67" t="n">
        <f aca="false">IF(AND(ISNUMBER(M59)),M81*1000000*M59/3600/M64,"SLO 不可達")</f>
        <v>16265.3626052943</v>
      </c>
      <c r="N86" s="67" t="n">
        <f aca="false">IF(AND(ISNUMBER(N59)),N81*1000000*N59/3600/N64,"SLO 不可達")</f>
        <v>69339.0610047075</v>
      </c>
      <c r="O86" s="67" t="n">
        <f aca="false">IF(AND(ISNUMBER(O59)),O81*1000000*O59/3600/O64,"SLO 不可達")</f>
        <v>16265.3626052943</v>
      </c>
      <c r="P86" s="67" t="n">
        <f aca="false">IF(AND(ISNUMBER(P59)),P81*1000000*P59/3600/P64,"SLO 不可達")</f>
        <v>69339.0610047075</v>
      </c>
      <c r="Q86" s="67" t="n">
        <f aca="false">IF(AND(ISNUMBER(Q59)),Q81*1000000*Q59/3600/Q64,"SLO 不可達")</f>
        <v>16265.3626052943</v>
      </c>
      <c r="R86" s="67" t="n">
        <f aca="false">IF(AND(ISNUMBER(R59)),R81*1000000*R59/3600/R64,"SLO 不可達")</f>
        <v>69339.0610047075</v>
      </c>
      <c r="S86" s="67" t="n">
        <f aca="false">IF(AND(ISNUMBER(S59)),S81*1000000*S59/3600/S64,"SLO 不可達")</f>
        <v>23042.5970241669</v>
      </c>
      <c r="T86" s="67" t="n">
        <f aca="false">IF(AND(ISNUMBER(T59)),T81*1000000*T59/3600/T64,"SLO 不可達")</f>
        <v>98230.3364233356</v>
      </c>
      <c r="U86" s="67" t="n">
        <f aca="false">IF(AND(ISNUMBER(U59)),U81*1000000*U59/3600/U64,"SLO 不可達")</f>
        <v>14553.2191731581</v>
      </c>
      <c r="V86" s="67" t="n">
        <f aca="false">IF(AND(ISNUMBER(V59)),V81*1000000*V59/3600/V64,"SLO 不可達")</f>
        <v>62040.2124778962</v>
      </c>
      <c r="W86" s="67" t="n">
        <f aca="false">IF(AND(ISNUMBER(W59)),W81*1000000*W59/3600/W64,"SLO 不可達")</f>
        <v>24609.6925975813</v>
      </c>
      <c r="X86" s="67" t="n">
        <f aca="false">IF(AND(ISNUMBER(X59)),X81*1000000*X59/3600/X64,"SLO 不可達")</f>
        <v>105467.756760022</v>
      </c>
      <c r="Y86" s="67" t="n">
        <f aca="false">IF(AND(ISNUMBER(Y59)),Y81*1000000*Y59/3600/Y64,"SLO 不可達")</f>
        <v>16265.3626052943</v>
      </c>
      <c r="Z86" s="67" t="n">
        <f aca="false">IF(AND(ISNUMBER(Z59)),Z81*1000000*Z59/3600/Z64,"SLO 不可達")</f>
        <v>69339.0610047075</v>
      </c>
      <c r="AA86" s="67" t="n">
        <f aca="false">IF(AND(ISNUMBER(AA59)),AA81*1000000*AA59/3600/AA64,"SLO 不可達")</f>
        <v>16265.3626052943</v>
      </c>
      <c r="AB86" s="67" t="n">
        <f aca="false">IF(AND(ISNUMBER(AB59)),AB81*1000000*AB59/3600/AB64,"SLO 不可達")</f>
        <v>69339.0610047075</v>
      </c>
      <c r="AC86" s="67" t="n">
        <f aca="false">IF(AND(ISNUMBER(AC59)),AC81*1000000*AC59/3600/AC64,"SLO 不可達")</f>
        <v>16265.3626052943</v>
      </c>
      <c r="AD86" s="67" t="n">
        <f aca="false">IF(AND(ISNUMBER(AD59)),AD81*1000000*AD59/3600/AD64,"SLO 不可達")</f>
        <v>69339.0610047075</v>
      </c>
      <c r="AE86" s="67" t="n">
        <f aca="false">IF(AND(ISNUMBER(AE59)),AE81*1000000*AE59/3600/AE64,"SLO 不可達")</f>
        <v>16265.3626052943</v>
      </c>
      <c r="AF86" s="67" t="n">
        <f aca="false">IF(AND(ISNUMBER(AF59)),AF81*1000000*AF59/3600/AF64,"SLO 不可達")</f>
        <v>69339.0610047075</v>
      </c>
      <c r="AG86" s="67" t="n">
        <f aca="false">IF(AND(ISNUMBER(AG59)),AG81*1000000*AG59/3600/AG64,"SLO 不可達")</f>
        <v>16265.3626052943</v>
      </c>
      <c r="AH86" s="67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0" t="s">
        <v>1068</v>
      </c>
      <c r="B87" s="61" t="s">
        <v>1023</v>
      </c>
      <c r="C87" s="67" t="n">
        <f aca="false">C83*1000000*C84/3600</f>
        <v>1043.84817893181</v>
      </c>
      <c r="D87" s="67" t="n">
        <f aca="false">D83*1000000*D84/3600</f>
        <v>3176.70887619048</v>
      </c>
      <c r="E87" s="67" t="n">
        <f aca="false">E83*1000000*E84/3600</f>
        <v>1043.84817893181</v>
      </c>
      <c r="F87" s="67" t="n">
        <f aca="false">F83*1000000*F84/3600</f>
        <v>3176.70887619048</v>
      </c>
      <c r="G87" s="67" t="n">
        <f aca="false">G83*1000000*G84/3600</f>
        <v>1043.84817893181</v>
      </c>
      <c r="H87" s="67" t="n">
        <f aca="false">H83*1000000*H84/3600</f>
        <v>3176.70887619048</v>
      </c>
      <c r="I87" s="67" t="n">
        <f aca="false">I83*1000000*I84/3600</f>
        <v>1043.84817893181</v>
      </c>
      <c r="J87" s="67" t="n">
        <f aca="false">J83*1000000*J84/3600</f>
        <v>3176.70887619048</v>
      </c>
      <c r="K87" s="67" t="n">
        <f aca="false">K83*1000000*K84/3600</f>
        <v>1043.84817893181</v>
      </c>
      <c r="L87" s="67" t="n">
        <f aca="false">L83*1000000*L84/3600</f>
        <v>3176.70887619048</v>
      </c>
      <c r="M87" s="67" t="n">
        <f aca="false">M83*1000000*M84/3600</f>
        <v>1043.84817893181</v>
      </c>
      <c r="N87" s="67" t="n">
        <f aca="false">N83*1000000*N84/3600</f>
        <v>3176.70887619048</v>
      </c>
      <c r="O87" s="67" t="n">
        <f aca="false">O83*1000000*O84/3600</f>
        <v>1043.84817893181</v>
      </c>
      <c r="P87" s="67" t="n">
        <f aca="false">P83*1000000*P84/3600</f>
        <v>3176.70887619048</v>
      </c>
      <c r="Q87" s="67" t="n">
        <f aca="false">Q83*1000000*Q84/3600</f>
        <v>1043.84817893181</v>
      </c>
      <c r="R87" s="67" t="n">
        <f aca="false">R83*1000000*R84/3600</f>
        <v>3176.70887619048</v>
      </c>
      <c r="S87" s="67" t="n">
        <f aca="false">S83*1000000*S84/3600</f>
        <v>1043.84817893181</v>
      </c>
      <c r="T87" s="67" t="n">
        <f aca="false">T83*1000000*T84/3600</f>
        <v>3176.70887619048</v>
      </c>
      <c r="U87" s="67" t="n">
        <f aca="false">U83*1000000*U84/3600</f>
        <v>1043.84817893181</v>
      </c>
      <c r="V87" s="67" t="n">
        <f aca="false">V83*1000000*V84/3600</f>
        <v>3176.70887619048</v>
      </c>
      <c r="W87" s="67" t="n">
        <f aca="false">W83*1000000*W84/3600</f>
        <v>1043.84817893181</v>
      </c>
      <c r="X87" s="67" t="n">
        <f aca="false">X83*1000000*X84/3600</f>
        <v>3176.70887619048</v>
      </c>
      <c r="Y87" s="67" t="n">
        <f aca="false">Y83*1000000*Y84/3600</f>
        <v>1043.84817893181</v>
      </c>
      <c r="Z87" s="67" t="n">
        <f aca="false">Z83*1000000*Z84/3600</f>
        <v>3176.70887619048</v>
      </c>
      <c r="AA87" s="67" t="n">
        <f aca="false">AA83*1000000*AA84/3600</f>
        <v>1043.84817893181</v>
      </c>
      <c r="AB87" s="67" t="n">
        <f aca="false">AB83*1000000*AB84/3600</f>
        <v>3176.70887619048</v>
      </c>
      <c r="AC87" s="67" t="n">
        <f aca="false">AC83*1000000*AC84/3600</f>
        <v>1043.84817893181</v>
      </c>
      <c r="AD87" s="67" t="n">
        <f aca="false">AD83*1000000*AD84/3600</f>
        <v>3176.70887619048</v>
      </c>
      <c r="AE87" s="67" t="n">
        <f aca="false">AE83*1000000*AE84/3600</f>
        <v>1043.84817893181</v>
      </c>
      <c r="AF87" s="67" t="n">
        <f aca="false">AF83*1000000*AF84/3600</f>
        <v>3176.70887619048</v>
      </c>
      <c r="AG87" s="67" t="n">
        <f aca="false">AG83*1000000*AG84/3600</f>
        <v>1043.84817893181</v>
      </c>
      <c r="AH87" s="67" t="n">
        <f aca="false">AH83*1000000*AH84/3600</f>
        <v>3176.70887619048</v>
      </c>
    </row>
    <row r="88" customFormat="false" ht="15" hidden="false" customHeight="false" outlineLevel="0" collapsed="false">
      <c r="A88" s="60" t="s">
        <v>1069</v>
      </c>
      <c r="B88" s="61" t="s">
        <v>314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0" t="s">
        <v>1070</v>
      </c>
      <c r="B89" s="61" t="s">
        <v>1023</v>
      </c>
      <c r="C89" s="67" t="n">
        <f aca="false">C88/(C12*1000000000000000*C16*C71*C17)/3600</f>
        <v>15643.9504442093</v>
      </c>
      <c r="D89" s="67" t="n">
        <f aca="false">D88/(D12*1000000000000000*D16*D71*D17)/3600</f>
        <v>56530.9765079365</v>
      </c>
      <c r="E89" s="67" t="n">
        <f aca="false">E88/(E12*1000000000000000*E16*E71*E17)/3600</f>
        <v>26073.2507403488</v>
      </c>
      <c r="F89" s="67" t="n">
        <f aca="false">F88/(F12*1000000000000000*F16*F71*F17)/3600</f>
        <v>94218.2941798942</v>
      </c>
      <c r="G89" s="67" t="n">
        <f aca="false">G88/(G12*1000000000000000*G16*G71*G17)/3600</f>
        <v>9777.46902763081</v>
      </c>
      <c r="H89" s="67" t="n">
        <f aca="false">H88/(H12*1000000000000000*H16*H71*H17)/3600</f>
        <v>35331.8603174603</v>
      </c>
      <c r="I89" s="67" t="n">
        <f aca="false">I88/(I12*1000000000000000*I16*I71*I17)/3600</f>
        <v>7821.97522210464</v>
      </c>
      <c r="J89" s="67" t="n">
        <f aca="false">J88/(J12*1000000000000000*J16*J71*J17)/3600</f>
        <v>28265.4882539683</v>
      </c>
      <c r="K89" s="67" t="n">
        <f aca="false">K88/(K12*1000000000000000*K16*K71*K17)/3600</f>
        <v>15643.9504442093</v>
      </c>
      <c r="L89" s="67" t="n">
        <f aca="false">L88/(L12*1000000000000000*L16*L71*L17)/3600</f>
        <v>56530.9765079365</v>
      </c>
      <c r="M89" s="67" t="n">
        <f aca="false">M88/(M12*1000000000000000*M16*M71*M17)/3600</f>
        <v>15643.9504442093</v>
      </c>
      <c r="N89" s="67" t="n">
        <f aca="false">N88/(N12*1000000000000000*N16*N71*N17)/3600</f>
        <v>56530.9765079365</v>
      </c>
      <c r="O89" s="67" t="n">
        <f aca="false">O88/(O12*1000000000000000*O16*O71*O17)/3600</f>
        <v>15643.9504442093</v>
      </c>
      <c r="P89" s="67" t="n">
        <f aca="false">P88/(P12*1000000000000000*P16*P71*P17)/3600</f>
        <v>56530.9765079365</v>
      </c>
      <c r="Q89" s="67" t="n">
        <f aca="false">Q88/(Q12*1000000000000000*Q16*Q71*Q17)/3600</f>
        <v>15643.9504442093</v>
      </c>
      <c r="R89" s="67" t="n">
        <f aca="false">R88/(R12*1000000000000000*R16*R71*R17)/3600</f>
        <v>56530.9765079365</v>
      </c>
      <c r="S89" s="67" t="n">
        <f aca="false">S88/(S12*1000000000000000*S16*S71*S17)/3600</f>
        <v>15643.9504442093</v>
      </c>
      <c r="T89" s="67" t="n">
        <f aca="false">T88/(T12*1000000000000000*T16*T71*T17)/3600</f>
        <v>56530.9765079365</v>
      </c>
      <c r="U89" s="67" t="n">
        <f aca="false">U88/(U12*1000000000000000*U16*U71*U17)/3600</f>
        <v>15643.9504442093</v>
      </c>
      <c r="V89" s="67" t="n">
        <f aca="false">V88/(V12*1000000000000000*V16*V71*V17)/3600</f>
        <v>56530.9765079365</v>
      </c>
      <c r="W89" s="67" t="n">
        <f aca="false">W88/(W12*1000000000000000*W16*W71*W17)/3600</f>
        <v>15643.9504442093</v>
      </c>
      <c r="X89" s="67" t="n">
        <f aca="false">X88/(X12*1000000000000000*X16*X71*X17)/3600</f>
        <v>56530.9765079365</v>
      </c>
      <c r="Y89" s="67" t="n">
        <f aca="false">Y88/(Y12*1000000000000000*Y16*Y71*Y17)/3600</f>
        <v>15643.9504442093</v>
      </c>
      <c r="Z89" s="67" t="n">
        <f aca="false">Z88/(Z12*1000000000000000*Z16*Z71*Z17)/3600</f>
        <v>56530.9765079365</v>
      </c>
      <c r="AA89" s="67" t="n">
        <f aca="false">AA88/(AA12*1000000000000000*AA16*AA71*AA17)/3600</f>
        <v>15643.9504442093</v>
      </c>
      <c r="AB89" s="67" t="n">
        <f aca="false">AB88/(AB12*1000000000000000*AB16*AB71*AB17)/3600</f>
        <v>56530.9765079365</v>
      </c>
      <c r="AC89" s="67" t="n">
        <f aca="false">AC88/(AC12*1000000000000000*AC16*AC71*AC17)/3600</f>
        <v>15643.9504442093</v>
      </c>
      <c r="AD89" s="67" t="n">
        <f aca="false">AD88/(AD12*1000000000000000*AD16*AD71*AD17)/3600</f>
        <v>56530.9765079365</v>
      </c>
      <c r="AE89" s="67" t="n">
        <f aca="false">AE88/(AE12*1000000000000000*AE16*AE71*AE17)/3600</f>
        <v>15643.9504442093</v>
      </c>
      <c r="AF89" s="67" t="n">
        <f aca="false">AF88/(AF12*1000000000000000*AF16*AF71*AF17)/3600</f>
        <v>56530.9765079365</v>
      </c>
      <c r="AG89" s="67" t="n">
        <f aca="false">AG88/(AG12*1000000000000000*AG16*AG71*AG17)/3600</f>
        <v>17599.4442497355</v>
      </c>
      <c r="AH89" s="67" t="n">
        <f aca="false">AH88/(AH12*1000000000000000*AH16*AH71*AH17)/3600</f>
        <v>63597.3485714286</v>
      </c>
    </row>
    <row r="90" customFormat="false" ht="15" hidden="false" customHeight="false" outlineLevel="0" collapsed="false">
      <c r="A90" s="60" t="s">
        <v>1071</v>
      </c>
      <c r="B90" s="61" t="s">
        <v>1023</v>
      </c>
      <c r="C90" s="67" t="n">
        <f aca="false">IF(AND(ISNUMBER(C86)),C86+C87+C89,"SLO 不可達")</f>
        <v>32953.1612284354</v>
      </c>
      <c r="D90" s="67" t="n">
        <f aca="false">IF(AND(ISNUMBER(D86)),D86+D87+D89,"SLO 不可達")</f>
        <v>129046.746388834</v>
      </c>
      <c r="E90" s="67" t="n">
        <f aca="false">IF(AND(ISNUMBER(E86)),E86+E87+E89,"SLO 不可達")</f>
        <v>43382.4615245749</v>
      </c>
      <c r="F90" s="67" t="n">
        <f aca="false">IF(AND(ISNUMBER(F86)),F86+F87+F89,"SLO 不可達")</f>
        <v>166734.064060792</v>
      </c>
      <c r="G90" s="67" t="n">
        <f aca="false">IF(AND(ISNUMBER(G86)),G86+G87+G89,"SLO 不可達")</f>
        <v>27086.6798118569</v>
      </c>
      <c r="H90" s="67" t="n">
        <f aca="false">IF(AND(ISNUMBER(H86)),H86+H87+H89,"SLO 不可達")</f>
        <v>107847.630198358</v>
      </c>
      <c r="I90" s="67" t="n">
        <f aca="false">IF(AND(ISNUMBER(I86)),I86+I87+I89,"SLO 不可達")</f>
        <v>25131.1860063307</v>
      </c>
      <c r="J90" s="67" t="n">
        <f aca="false">IF(AND(ISNUMBER(J86)),J86+J87+J89,"SLO 不可達")</f>
        <v>100781.258134866</v>
      </c>
      <c r="K90" s="67" t="n">
        <f aca="false">IF(AND(ISNUMBER(K86)),K86+K87+K89,"SLO 不可達")</f>
        <v>32953.1612284354</v>
      </c>
      <c r="L90" s="67" t="n">
        <f aca="false">IF(AND(ISNUMBER(L86)),L86+L87+L89,"SLO 不可達")</f>
        <v>129046.746388834</v>
      </c>
      <c r="M90" s="67" t="n">
        <f aca="false">IF(AND(ISNUMBER(M86)),M86+M87+M89,"SLO 不可達")</f>
        <v>32953.1612284354</v>
      </c>
      <c r="N90" s="67" t="n">
        <f aca="false">IF(AND(ISNUMBER(N86)),N86+N87+N89,"SLO 不可達")</f>
        <v>129046.746388834</v>
      </c>
      <c r="O90" s="67" t="n">
        <f aca="false">IF(AND(ISNUMBER(O86)),O86+O87+O89,"SLO 不可達")</f>
        <v>32953.1612284354</v>
      </c>
      <c r="P90" s="67" t="n">
        <f aca="false">IF(AND(ISNUMBER(P86)),P86+P87+P89,"SLO 不可達")</f>
        <v>129046.746388834</v>
      </c>
      <c r="Q90" s="67" t="n">
        <f aca="false">IF(AND(ISNUMBER(Q86)),Q86+Q87+Q89,"SLO 不可達")</f>
        <v>32953.1612284354</v>
      </c>
      <c r="R90" s="67" t="n">
        <f aca="false">IF(AND(ISNUMBER(R86)),R86+R87+R89,"SLO 不可達")</f>
        <v>129046.746388834</v>
      </c>
      <c r="S90" s="67" t="n">
        <f aca="false">IF(AND(ISNUMBER(S86)),S86+S87+S89,"SLO 不可達")</f>
        <v>39730.395647308</v>
      </c>
      <c r="T90" s="67" t="n">
        <f aca="false">IF(AND(ISNUMBER(T86)),T86+T87+T89,"SLO 不可達")</f>
        <v>157938.021807463</v>
      </c>
      <c r="U90" s="67" t="n">
        <f aca="false">IF(AND(ISNUMBER(U86)),U86+U87+U89,"SLO 不可達")</f>
        <v>31241.0177962992</v>
      </c>
      <c r="V90" s="67" t="n">
        <f aca="false">IF(AND(ISNUMBER(V86)),V86+V87+V89,"SLO 不可達")</f>
        <v>121747.897862023</v>
      </c>
      <c r="W90" s="67" t="n">
        <f aca="false">IF(AND(ISNUMBER(W86)),W86+W87+W89,"SLO 不可達")</f>
        <v>41297.4912207224</v>
      </c>
      <c r="X90" s="67" t="n">
        <f aca="false">IF(AND(ISNUMBER(X86)),X86+X87+X89,"SLO 不可達")</f>
        <v>165175.442144149</v>
      </c>
      <c r="Y90" s="67" t="n">
        <f aca="false">IF(AND(ISNUMBER(Y86)),Y86+Y87+Y89,"SLO 不可達")</f>
        <v>32953.1612284354</v>
      </c>
      <c r="Z90" s="67" t="n">
        <f aca="false">IF(AND(ISNUMBER(Z86)),Z86+Z87+Z89,"SLO 不可達")</f>
        <v>129046.746388834</v>
      </c>
      <c r="AA90" s="67" t="n">
        <f aca="false">IF(AND(ISNUMBER(AA86)),AA86+AA87+AA89,"SLO 不可達")</f>
        <v>32953.1612284354</v>
      </c>
      <c r="AB90" s="67" t="n">
        <f aca="false">IF(AND(ISNUMBER(AB86)),AB86+AB87+AB89,"SLO 不可達")</f>
        <v>129046.746388834</v>
      </c>
      <c r="AC90" s="67" t="n">
        <f aca="false">IF(AND(ISNUMBER(AC86)),AC86+AC87+AC89,"SLO 不可達")</f>
        <v>32953.1612284354</v>
      </c>
      <c r="AD90" s="67" t="n">
        <f aca="false">IF(AND(ISNUMBER(AD86)),AD86+AD87+AD89,"SLO 不可達")</f>
        <v>129046.746388834</v>
      </c>
      <c r="AE90" s="67" t="n">
        <f aca="false">IF(AND(ISNUMBER(AE86)),AE86+AE87+AE89,"SLO 不可達")</f>
        <v>32953.1612284354</v>
      </c>
      <c r="AF90" s="67" t="n">
        <f aca="false">IF(AND(ISNUMBER(AF86)),AF86+AF87+AF89,"SLO 不可達")</f>
        <v>129046.746388834</v>
      </c>
      <c r="AG90" s="67" t="n">
        <f aca="false">IF(AND(ISNUMBER(AG86)),AG86+AG87+AG89,"SLO 不可達")</f>
        <v>34908.6550339616</v>
      </c>
      <c r="AH90" s="67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0" t="s">
        <v>1072</v>
      </c>
      <c r="B91" s="61" t="s">
        <v>314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5" t="s">
        <v>1073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</row>
    <row r="93" customFormat="false" ht="15" hidden="false" customHeight="false" outlineLevel="0" collapsed="false">
      <c r="A93" s="60" t="s">
        <v>1074</v>
      </c>
      <c r="B93" s="61" t="s">
        <v>954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0" t="s">
        <v>1075</v>
      </c>
      <c r="B94" s="60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  <c r="R94" s="89" t="n">
        <f aca="false">Train_In!$C$15</f>
        <v>3</v>
      </c>
      <c r="S94" s="89" t="n">
        <f aca="false">Train_In!$C$15</f>
        <v>3</v>
      </c>
      <c r="T94" s="89" t="n">
        <f aca="false">Train_In!$C$15</f>
        <v>3</v>
      </c>
      <c r="U94" s="89" t="n">
        <f aca="false">Train_In!$C$15</f>
        <v>3</v>
      </c>
      <c r="V94" s="89" t="n">
        <f aca="false">Train_In!$C$15</f>
        <v>3</v>
      </c>
      <c r="W94" s="89" t="n">
        <f aca="false">Train_In!$C$15</f>
        <v>3</v>
      </c>
      <c r="X94" s="89" t="n">
        <f aca="false">Train_In!$C$15</f>
        <v>3</v>
      </c>
      <c r="Y94" s="89" t="n">
        <f aca="false">Train_In!$C$15</f>
        <v>3</v>
      </c>
      <c r="Z94" s="89" t="n">
        <f aca="false">Train_In!$C$15</f>
        <v>3</v>
      </c>
      <c r="AA94" s="89" t="n">
        <f aca="false">Train_In!$C$15</f>
        <v>3</v>
      </c>
      <c r="AB94" s="89" t="n">
        <f aca="false">Train_In!$C$15</f>
        <v>3</v>
      </c>
      <c r="AC94" s="89" t="n">
        <f aca="false">Train_In!$C$15</f>
        <v>3</v>
      </c>
      <c r="AD94" s="89" t="n">
        <f aca="false">Train_In!$C$15</f>
        <v>3</v>
      </c>
      <c r="AE94" s="89" t="n">
        <f aca="false">Train_In!$C$15</f>
        <v>3</v>
      </c>
      <c r="AF94" s="89" t="n">
        <f aca="false">Train_In!$C$15</f>
        <v>3</v>
      </c>
      <c r="AG94" s="89" t="n">
        <f aca="false">Train_In!$C$15</f>
        <v>3</v>
      </c>
      <c r="AH94" s="89" t="n">
        <f aca="false">Train_In!$C$15</f>
        <v>3</v>
      </c>
    </row>
    <row r="95" customFormat="false" ht="15" hidden="false" customHeight="false" outlineLevel="0" collapsed="false">
      <c r="A95" s="60" t="s">
        <v>1076</v>
      </c>
      <c r="B95" s="61" t="s">
        <v>803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0" t="s">
        <v>1077</v>
      </c>
      <c r="B96" s="61" t="s">
        <v>493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0" t="s">
        <v>1078</v>
      </c>
      <c r="B97" s="61" t="s">
        <v>1023</v>
      </c>
      <c r="C97" s="67" t="n">
        <f aca="false">IF(AND(ISNUMBER(C95)),C93*1000000*C95/3600,"SLO 不可達")</f>
        <v>589382.018540014</v>
      </c>
      <c r="D97" s="67" t="n">
        <f aca="false">IF(AND(ISNUMBER(D95)),D93*1000000*D95/3600,"SLO 不可達")</f>
        <v>884073.027810021</v>
      </c>
      <c r="E97" s="67" t="n">
        <f aca="false">IF(AND(ISNUMBER(E95)),E93*1000000*E95/3600,"SLO 不可達")</f>
        <v>589382.018540014</v>
      </c>
      <c r="F97" s="67" t="n">
        <f aca="false">IF(AND(ISNUMBER(F95)),F93*1000000*F95/3600,"SLO 不可達")</f>
        <v>884073.027810021</v>
      </c>
      <c r="G97" s="67" t="n">
        <f aca="false">IF(AND(ISNUMBER(G95)),G93*1000000*G95/3600,"SLO 不可達")</f>
        <v>589382.018540014</v>
      </c>
      <c r="H97" s="67" t="n">
        <f aca="false">IF(AND(ISNUMBER(H95)),H93*1000000*H95/3600,"SLO 不可達")</f>
        <v>884073.027810021</v>
      </c>
      <c r="I97" s="67" t="n">
        <f aca="false">IF(AND(ISNUMBER(I95)),I93*1000000*I95/3600,"SLO 不可達")</f>
        <v>589382.018540014</v>
      </c>
      <c r="J97" s="67" t="n">
        <f aca="false">IF(AND(ISNUMBER(J95)),J93*1000000*J95/3600,"SLO 不可達")</f>
        <v>884073.027810021</v>
      </c>
      <c r="K97" s="67" t="n">
        <f aca="false">IF(AND(ISNUMBER(K95)),K93*1000000*K95/3600,"SLO 不可達")</f>
        <v>589382.018540014</v>
      </c>
      <c r="L97" s="67" t="n">
        <f aca="false">IF(AND(ISNUMBER(L95)),L93*1000000*L95/3600,"SLO 不可達")</f>
        <v>884073.027810021</v>
      </c>
      <c r="M97" s="67" t="n">
        <f aca="false">IF(AND(ISNUMBER(M95)),M93*1000000*M95/3600,"SLO 不可達")</f>
        <v>589382.018540014</v>
      </c>
      <c r="N97" s="67" t="n">
        <f aca="false">IF(AND(ISNUMBER(N95)),N93*1000000*N95/3600,"SLO 不可達")</f>
        <v>884073.027810021</v>
      </c>
      <c r="O97" s="67" t="n">
        <f aca="false">IF(AND(ISNUMBER(O95)),O93*1000000*O95/3600,"SLO 不可達")</f>
        <v>589382.018540014</v>
      </c>
      <c r="P97" s="67" t="n">
        <f aca="false">IF(AND(ISNUMBER(P95)),P93*1000000*P95/3600,"SLO 不可達")</f>
        <v>884073.027810021</v>
      </c>
      <c r="Q97" s="67" t="n">
        <f aca="false">IF(AND(ISNUMBER(Q95)),Q93*1000000*Q95/3600,"SLO 不可達")</f>
        <v>589382.018540014</v>
      </c>
      <c r="R97" s="67" t="n">
        <f aca="false">IF(AND(ISNUMBER(R95)),R93*1000000*R95/3600,"SLO 不可達")</f>
        <v>884073.027810021</v>
      </c>
      <c r="S97" s="67" t="n">
        <f aca="false">IF(AND(ISNUMBER(S95)),S93*1000000*S95/3600,"SLO 不可達")</f>
        <v>589382.018540014</v>
      </c>
      <c r="T97" s="67" t="n">
        <f aca="false">IF(AND(ISNUMBER(T95)),T93*1000000*T95/3600,"SLO 不可達")</f>
        <v>884073.027810021</v>
      </c>
      <c r="U97" s="67" t="n">
        <f aca="false">IF(AND(ISNUMBER(U95)),U93*1000000*U95/3600,"SLO 不可達")</f>
        <v>589382.018540014</v>
      </c>
      <c r="V97" s="67" t="n">
        <f aca="false">IF(AND(ISNUMBER(V95)),V93*1000000*V95/3600,"SLO 不可達")</f>
        <v>884073.027810021</v>
      </c>
      <c r="W97" s="67" t="n">
        <f aca="false">IF(AND(ISNUMBER(W95)),W93*1000000*W95/3600,"SLO 不可達")</f>
        <v>589382.018540014</v>
      </c>
      <c r="X97" s="67" t="n">
        <f aca="false">IF(AND(ISNUMBER(X95)),X93*1000000*X95/3600,"SLO 不可達")</f>
        <v>884073.027810021</v>
      </c>
      <c r="Y97" s="67" t="n">
        <f aca="false">IF(AND(ISNUMBER(Y95)),Y93*1000000*Y95/3600,"SLO 不可達")</f>
        <v>0</v>
      </c>
      <c r="Z97" s="67" t="n">
        <f aca="false">IF(AND(ISNUMBER(Z95)),Z93*1000000*Z95/3600,"SLO 不可達")</f>
        <v>0</v>
      </c>
      <c r="AA97" s="67" t="n">
        <f aca="false">IF(AND(ISNUMBER(AA95)),AA93*1000000*AA95/3600,"SLO 不可達")</f>
        <v>1768146.05562004</v>
      </c>
      <c r="AB97" s="67" t="n">
        <f aca="false">IF(AND(ISNUMBER(AB95)),AB93*1000000*AB95/3600,"SLO 不可達")</f>
        <v>2652219.08343006</v>
      </c>
      <c r="AC97" s="67" t="n">
        <f aca="false">IF(AND(ISNUMBER(AC95)),AC93*1000000*AC95/3600,"SLO 不可達")</f>
        <v>589382.018540014</v>
      </c>
      <c r="AD97" s="67" t="n">
        <f aca="false">IF(AND(ISNUMBER(AD95)),AD93*1000000*AD95/3600,"SLO 不可達")</f>
        <v>884073.027810021</v>
      </c>
      <c r="AE97" s="67" t="n">
        <f aca="false">IF(AND(ISNUMBER(AE95)),AE93*1000000*AE95/3600,"SLO 不可達")</f>
        <v>589382.018540014</v>
      </c>
      <c r="AF97" s="67" t="n">
        <f aca="false">IF(AND(ISNUMBER(AF95)),AF93*1000000*AF95/3600,"SLO 不可達")</f>
        <v>884073.027810021</v>
      </c>
      <c r="AG97" s="67" t="n">
        <f aca="false">IF(AND(ISNUMBER(AG95)),AG93*1000000*AG95/3600,"SLO 不可達")</f>
        <v>589382.018540014</v>
      </c>
      <c r="AH97" s="67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0" t="s">
        <v>1079</v>
      </c>
      <c r="B98" s="61" t="s">
        <v>314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0" t="s">
        <v>977</v>
      </c>
      <c r="B99" s="61" t="s">
        <v>954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0" t="s">
        <v>1080</v>
      </c>
      <c r="B100" s="61" t="s">
        <v>1023</v>
      </c>
      <c r="C100" s="67" t="n">
        <f aca="false">IF(AND(ISNUMBER(C59)),C99*1000000*C59/3600,"SLO 不可達")</f>
        <v>3456.38955362504</v>
      </c>
      <c r="D100" s="67" t="n">
        <f aca="false">IF(AND(ISNUMBER(D59)),D99*1000000*D59/3600,"SLO 不可達")</f>
        <v>29469.1009270007</v>
      </c>
      <c r="E100" s="67" t="n">
        <f aca="false">IF(AND(ISNUMBER(E59)),E99*1000000*E59/3600,"SLO 不可達")</f>
        <v>3456.38955362504</v>
      </c>
      <c r="F100" s="67" t="n">
        <f aca="false">IF(AND(ISNUMBER(F59)),F99*1000000*F59/3600,"SLO 不可達")</f>
        <v>29469.1009270007</v>
      </c>
      <c r="G100" s="67" t="n">
        <f aca="false">IF(AND(ISNUMBER(G59)),G99*1000000*G59/3600,"SLO 不可達")</f>
        <v>3456.38955362504</v>
      </c>
      <c r="H100" s="67" t="n">
        <f aca="false">IF(AND(ISNUMBER(H59)),H99*1000000*H59/3600,"SLO 不可達")</f>
        <v>29469.1009270007</v>
      </c>
      <c r="I100" s="67" t="n">
        <f aca="false">IF(AND(ISNUMBER(I59)),I99*1000000*I59/3600,"SLO 不可達")</f>
        <v>3456.38955362504</v>
      </c>
      <c r="J100" s="67" t="n">
        <f aca="false">IF(AND(ISNUMBER(J59)),J99*1000000*J59/3600,"SLO 不可達")</f>
        <v>29469.1009270007</v>
      </c>
      <c r="K100" s="67" t="n">
        <f aca="false">IF(AND(ISNUMBER(K59)),K99*1000000*K59/3600,"SLO 不可達")</f>
        <v>3456.38955362504</v>
      </c>
      <c r="L100" s="67" t="n">
        <f aca="false">IF(AND(ISNUMBER(L59)),L99*1000000*L59/3600,"SLO 不可達")</f>
        <v>29469.1009270007</v>
      </c>
      <c r="M100" s="67" t="n">
        <f aca="false">IF(AND(ISNUMBER(M59)),M99*1000000*M59/3600,"SLO 不可達")</f>
        <v>3456.38955362504</v>
      </c>
      <c r="N100" s="67" t="n">
        <f aca="false">IF(AND(ISNUMBER(N59)),N99*1000000*N59/3600,"SLO 不可達")</f>
        <v>29469.1009270007</v>
      </c>
      <c r="O100" s="67" t="n">
        <f aca="false">IF(AND(ISNUMBER(O59)),O99*1000000*O59/3600,"SLO 不可達")</f>
        <v>3456.38955362504</v>
      </c>
      <c r="P100" s="67" t="n">
        <f aca="false">IF(AND(ISNUMBER(P59)),P99*1000000*P59/3600,"SLO 不可達")</f>
        <v>29469.1009270007</v>
      </c>
      <c r="Q100" s="67" t="n">
        <f aca="false">IF(AND(ISNUMBER(Q59)),Q99*1000000*Q59/3600,"SLO 不可達")</f>
        <v>3456.38955362504</v>
      </c>
      <c r="R100" s="67" t="n">
        <f aca="false">IF(AND(ISNUMBER(R59)),R99*1000000*R59/3600,"SLO 不可達")</f>
        <v>29469.1009270007</v>
      </c>
      <c r="S100" s="67" t="n">
        <f aca="false">IF(AND(ISNUMBER(S59)),S99*1000000*S59/3600,"SLO 不可達")</f>
        <v>3456.38955362504</v>
      </c>
      <c r="T100" s="67" t="n">
        <f aca="false">IF(AND(ISNUMBER(T59)),T99*1000000*T59/3600,"SLO 不可達")</f>
        <v>29469.1009270007</v>
      </c>
      <c r="U100" s="67" t="n">
        <f aca="false">IF(AND(ISNUMBER(U59)),U99*1000000*U59/3600,"SLO 不可達")</f>
        <v>3456.38955362504</v>
      </c>
      <c r="V100" s="67" t="n">
        <f aca="false">IF(AND(ISNUMBER(V59)),V99*1000000*V59/3600,"SLO 不可達")</f>
        <v>29469.1009270007</v>
      </c>
      <c r="W100" s="67" t="n">
        <f aca="false">IF(AND(ISNUMBER(W59)),W99*1000000*W59/3600,"SLO 不可達")</f>
        <v>5229.55967698603</v>
      </c>
      <c r="X100" s="67" t="n">
        <f aca="false">IF(AND(ISNUMBER(X59)),X99*1000000*X59/3600,"SLO 不可達")</f>
        <v>44823.7966230092</v>
      </c>
      <c r="Y100" s="67" t="n">
        <f aca="false">IF(AND(ISNUMBER(Y59)),Y99*1000000*Y59/3600,"SLO 不可達")</f>
        <v>3456.38955362504</v>
      </c>
      <c r="Z100" s="67" t="n">
        <f aca="false">IF(AND(ISNUMBER(Z59)),Z99*1000000*Z59/3600,"SLO 不可達")</f>
        <v>29469.1009270007</v>
      </c>
      <c r="AA100" s="67" t="n">
        <f aca="false">IF(AND(ISNUMBER(AA59)),AA99*1000000*AA59/3600,"SLO 不可達")</f>
        <v>3456.38955362504</v>
      </c>
      <c r="AB100" s="67" t="n">
        <f aca="false">IF(AND(ISNUMBER(AB59)),AB99*1000000*AB59/3600,"SLO 不可達")</f>
        <v>29469.1009270007</v>
      </c>
      <c r="AC100" s="67" t="n">
        <f aca="false">IF(AND(ISNUMBER(AC59)),AC99*1000000*AC59/3600,"SLO 不可達")</f>
        <v>3456.38955362504</v>
      </c>
      <c r="AD100" s="67" t="n">
        <f aca="false">IF(AND(ISNUMBER(AD59)),AD99*1000000*AD59/3600,"SLO 不可達")</f>
        <v>29469.1009270007</v>
      </c>
      <c r="AE100" s="67" t="n">
        <f aca="false">IF(AND(ISNUMBER(AE59)),AE99*1000000*AE59/3600,"SLO 不可達")</f>
        <v>3456.38955362504</v>
      </c>
      <c r="AF100" s="67" t="n">
        <f aca="false">IF(AND(ISNUMBER(AF59)),AF99*1000000*AF59/3600,"SLO 不可達")</f>
        <v>29469.1009270007</v>
      </c>
      <c r="AG100" s="67" t="n">
        <f aca="false">IF(AND(ISNUMBER(AG59)),AG99*1000000*AG59/3600,"SLO 不可達")</f>
        <v>3456.38955362504</v>
      </c>
      <c r="AH100" s="67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0" t="s">
        <v>1081</v>
      </c>
      <c r="B101" s="61" t="s">
        <v>314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5" t="s">
        <v>1082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</row>
    <row r="103" customFormat="false" ht="15" hidden="false" customHeight="false" outlineLevel="0" collapsed="false">
      <c r="A103" s="60" t="s">
        <v>1083</v>
      </c>
      <c r="B103" s="61" t="s">
        <v>1023</v>
      </c>
      <c r="C103" s="67" t="n">
        <f aca="false">C36+C43</f>
        <v>1046714.22569904</v>
      </c>
      <c r="D103" s="67" t="n">
        <f aca="false">D36+D43</f>
        <v>5684233.89686067</v>
      </c>
      <c r="E103" s="67" t="n">
        <f aca="false">E36+E43</f>
        <v>1744523.70949839</v>
      </c>
      <c r="F103" s="67" t="n">
        <f aca="false">F36+F43</f>
        <v>9473723.16143445</v>
      </c>
      <c r="G103" s="67" t="n">
        <f aca="false">G36+G43</f>
        <v>654196.391061898</v>
      </c>
      <c r="H103" s="67" t="n">
        <f aca="false">H36+H43</f>
        <v>3552646.18553792</v>
      </c>
      <c r="I103" s="67" t="n">
        <f aca="false">I36+I43</f>
        <v>523357.112849518</v>
      </c>
      <c r="J103" s="67" t="n">
        <f aca="false">J36+J43</f>
        <v>2842116.94843034</v>
      </c>
      <c r="K103" s="67" t="n">
        <f aca="false">K36+K43</f>
        <v>539398.39432267</v>
      </c>
      <c r="L103" s="67" t="n">
        <f aca="false">L36+L43</f>
        <v>3002522.01537919</v>
      </c>
      <c r="M103" s="67" t="n">
        <f aca="false">M36+M43</f>
        <v>1726517.43974337</v>
      </c>
      <c r="N103" s="67" t="n">
        <f aca="false">N36+N43</f>
        <v>9277727.81804586</v>
      </c>
      <c r="O103" s="67" t="n">
        <f aca="false">O36+O43</f>
        <v>1046714.22569904</v>
      </c>
      <c r="P103" s="67" t="n">
        <f aca="false">P36+P43</f>
        <v>5684233.89686067</v>
      </c>
      <c r="Q103" s="67" t="n">
        <f aca="false">Q36+Q43</f>
        <v>1046714.22569904</v>
      </c>
      <c r="R103" s="67" t="n">
        <f aca="false">R36+R43</f>
        <v>5684233.89686067</v>
      </c>
      <c r="S103" s="67" t="n">
        <f aca="false">S36+S43</f>
        <v>1046714.22569904</v>
      </c>
      <c r="T103" s="67" t="n">
        <f aca="false">T36+T43</f>
        <v>5684233.89686067</v>
      </c>
      <c r="U103" s="67" t="n">
        <f aca="false">U36+U43</f>
        <v>1046714.22569904</v>
      </c>
      <c r="V103" s="67" t="n">
        <f aca="false">V36+V43</f>
        <v>5684233.89686067</v>
      </c>
      <c r="W103" s="67" t="n">
        <f aca="false">W36+W43</f>
        <v>1046714.22569904</v>
      </c>
      <c r="X103" s="67" t="n">
        <f aca="false">X36+X43</f>
        <v>5684233.89686067</v>
      </c>
      <c r="Y103" s="67" t="n">
        <f aca="false">Y36+Y43</f>
        <v>1046714.22569904</v>
      </c>
      <c r="Z103" s="67" t="n">
        <f aca="false">Z36+Z43</f>
        <v>5684233.89686067</v>
      </c>
      <c r="AA103" s="67" t="n">
        <f aca="false">AA36+AA43</f>
        <v>1046714.22569904</v>
      </c>
      <c r="AB103" s="67" t="n">
        <f aca="false">AB36+AB43</f>
        <v>5684233.89686067</v>
      </c>
      <c r="AC103" s="67" t="n">
        <f aca="false">AC36+AC43</f>
        <v>1046714.22569904</v>
      </c>
      <c r="AD103" s="67" t="n">
        <f aca="false">AD36+AD43</f>
        <v>5684233.89686067</v>
      </c>
      <c r="AE103" s="67" t="n">
        <f aca="false">AE36+AE43</f>
        <v>1046714.22569904</v>
      </c>
      <c r="AF103" s="67" t="n">
        <f aca="false">AF36+AF43</f>
        <v>5684233.89686067</v>
      </c>
      <c r="AG103" s="67" t="n">
        <f aca="false">AG36+AG43</f>
        <v>1177553.50391142</v>
      </c>
      <c r="AH103" s="67" t="n">
        <f aca="false">AH36+AH43</f>
        <v>6394763.13396825</v>
      </c>
    </row>
    <row r="104" customFormat="false" ht="15" hidden="false" customHeight="false" outlineLevel="0" collapsed="false">
      <c r="A104" s="60" t="s">
        <v>1084</v>
      </c>
      <c r="B104" s="61" t="s">
        <v>1023</v>
      </c>
      <c r="C104" s="67" t="n">
        <f aca="false">IF(AND(ISNUMBER(C75),ISNUMBER(C90)),C51+C75+C90,"SLO 不可達")</f>
        <v>411736.625794877</v>
      </c>
      <c r="D104" s="67" t="n">
        <f aca="false">IF(AND(ISNUMBER(D75),ISNUMBER(D90)),D51+D75+D90,"SLO 不可達")</f>
        <v>6186311.43998631</v>
      </c>
      <c r="E104" s="67" t="n">
        <f aca="false">IF(AND(ISNUMBER(E75),ISNUMBER(E90)),E51+E75+E90,"SLO 不可達")</f>
        <v>546532.785128705</v>
      </c>
      <c r="F104" s="67" t="n">
        <f aca="false">IF(AND(ISNUMBER(F75),ISNUMBER(F90)),F51+F75+F90,"SLO 不可達")</f>
        <v>8040833.73153245</v>
      </c>
      <c r="G104" s="67" t="n">
        <f aca="false">IF(AND(ISNUMBER(G75),ISNUMBER(G90)),G51+G75+G90,"SLO 不可達")</f>
        <v>335913.786169599</v>
      </c>
      <c r="H104" s="67" t="n">
        <f aca="false">IF(AND(ISNUMBER(H75),ISNUMBER(H90)),H51+H75+H90,"SLO 不可達")</f>
        <v>5143142.6509916</v>
      </c>
      <c r="I104" s="67" t="n">
        <f aca="false">IF(AND(ISNUMBER(I75),ISNUMBER(I90)),I51+I75+I90,"SLO 不可達")</f>
        <v>310639.506294506</v>
      </c>
      <c r="J104" s="67" t="n">
        <f aca="false">IF(AND(ISNUMBER(J75),ISNUMBER(J90)),J51+J75+J90,"SLO 不可達")</f>
        <v>4795419.72132669</v>
      </c>
      <c r="K104" s="67" t="n">
        <f aca="false">IF(AND(ISNUMBER(K75),ISNUMBER(K90)),K51+K75+K90,"SLO 不可達")</f>
        <v>411736.625794877</v>
      </c>
      <c r="L104" s="67" t="n">
        <f aca="false">IF(AND(ISNUMBER(L75),ISNUMBER(L90)),L51+L75+L90,"SLO 不可達")</f>
        <v>6186311.43998631</v>
      </c>
      <c r="M104" s="67" t="n">
        <f aca="false">IF(AND(ISNUMBER(M75),ISNUMBER(M90)),M51+M75+M90,"SLO 不可達")</f>
        <v>411736.625794877</v>
      </c>
      <c r="N104" s="67" t="n">
        <f aca="false">IF(AND(ISNUMBER(N75),ISNUMBER(N90)),N51+N75+N90,"SLO 不可達")</f>
        <v>6186311.43998631</v>
      </c>
      <c r="O104" s="67" t="n">
        <f aca="false">IF(AND(ISNUMBER(O75),ISNUMBER(O90)),O51+O75+O90,"SLO 不可達")</f>
        <v>147954.371918772</v>
      </c>
      <c r="P104" s="67" t="n">
        <f aca="false">IF(AND(ISNUMBER(P75),ISNUMBER(P90)),P51+P75+P90,"SLO 不可達")</f>
        <v>1954462.06636931</v>
      </c>
      <c r="Q104" s="67" t="n">
        <f aca="false">IF(AND(ISNUMBER(Q75),ISNUMBER(Q90)),Q51+Q75+Q90,"SLO 不可達")</f>
        <v>1165400.20829803</v>
      </c>
      <c r="R104" s="67" t="n">
        <f aca="false">IF(AND(ISNUMBER(R75),ISNUMBER(R90)),R51+R75+R90,"SLO 不可達")</f>
        <v>18277309.6503206</v>
      </c>
      <c r="S104" s="67" t="n">
        <f aca="false">IF(AND(ISNUMBER(S75),ISNUMBER(S90)),S51+S75+S90,"SLO 不可達")</f>
        <v>498611.016884545</v>
      </c>
      <c r="T104" s="67" t="n">
        <f aca="false">IF(AND(ISNUMBER(T75),ISNUMBER(T90)),T51+T75+T90,"SLO 不可達")</f>
        <v>7603541.14573251</v>
      </c>
      <c r="U104" s="67" t="n">
        <f aca="false">IF(AND(ISNUMBER(U75),ISNUMBER(U90)),U51+U75+U90,"SLO 不可達")</f>
        <v>389789.411203803</v>
      </c>
      <c r="V104" s="67" t="n">
        <f aca="false">IF(AND(ISNUMBER(V75),ISNUMBER(V90)),V51+V75+V90,"SLO 不可達")</f>
        <v>5828274.46169253</v>
      </c>
      <c r="W104" s="67" t="n">
        <f aca="false">IF(AND(ISNUMBER(W75),ISNUMBER(W90)),W51+W75+W90,"SLO 不可達")</f>
        <v>518845.946963587</v>
      </c>
      <c r="X104" s="67" t="n">
        <f aca="false">IF(AND(ISNUMBER(X75),ISNUMBER(X90)),X51+X75+X90,"SLO 不可達")</f>
        <v>7960354.83655692</v>
      </c>
      <c r="Y104" s="67" t="n">
        <f aca="false">IF(AND(ISNUMBER(Y75),ISNUMBER(Y90)),Y51+Y75+Y90,"SLO 不可達")</f>
        <v>411736.625794877</v>
      </c>
      <c r="Z104" s="67" t="n">
        <f aca="false">IF(AND(ISNUMBER(Z75),ISNUMBER(Z90)),Z51+Z75+Z90,"SLO 不可達")</f>
        <v>6186311.43998631</v>
      </c>
      <c r="AA104" s="67" t="n">
        <f aca="false">IF(AND(ISNUMBER(AA75),ISNUMBER(AA90)),AA51+AA75+AA90,"SLO 不可達")</f>
        <v>411736.625794877</v>
      </c>
      <c r="AB104" s="67" t="n">
        <f aca="false">IF(AND(ISNUMBER(AB75),ISNUMBER(AB90)),AB51+AB75+AB90,"SLO 不可達")</f>
        <v>6186311.43998631</v>
      </c>
      <c r="AC104" s="67" t="n">
        <f aca="false">IF(AND(ISNUMBER(AC75),ISNUMBER(AC90)),AC51+AC75+AC90,"SLO 不可達")</f>
        <v>411736.625794877</v>
      </c>
      <c r="AD104" s="67" t="n">
        <f aca="false">IF(AND(ISNUMBER(AD75),ISNUMBER(AD90)),AD51+AD75+AD90,"SLO 不可達")</f>
        <v>6186311.43998631</v>
      </c>
      <c r="AE104" s="67" t="n">
        <f aca="false">IF(AND(ISNUMBER(AE75),ISNUMBER(AE90)),AE51+AE75+AE90,"SLO 不可達")</f>
        <v>411736.625794877</v>
      </c>
      <c r="AF104" s="67" t="n">
        <f aca="false">IF(AND(ISNUMBER(AF75),ISNUMBER(AF90)),AF51+AF75+AF90,"SLO 不可達")</f>
        <v>6186311.43998631</v>
      </c>
      <c r="AG104" s="67" t="n">
        <f aca="false">IF(AND(ISNUMBER(AG75),ISNUMBER(AG90)),AG51+AG75+AG90,"SLO 不可達")</f>
        <v>437010.90566997</v>
      </c>
      <c r="AH104" s="67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0" t="s">
        <v>1085</v>
      </c>
      <c r="B105" s="61" t="s">
        <v>1023</v>
      </c>
      <c r="C105" s="67" t="n">
        <f aca="false">IF(AND(ISNUMBER(C97),ISNUMBER(C100)),C97+C100,"SLO 不可達")</f>
        <v>592838.408093639</v>
      </c>
      <c r="D105" s="67" t="n">
        <f aca="false">IF(AND(ISNUMBER(D97),ISNUMBER(D100)),D97+D100,"SLO 不可達")</f>
        <v>913542.128737021</v>
      </c>
      <c r="E105" s="67" t="n">
        <f aca="false">IF(AND(ISNUMBER(E97),ISNUMBER(E100)),E97+E100,"SLO 不可達")</f>
        <v>592838.408093639</v>
      </c>
      <c r="F105" s="67" t="n">
        <f aca="false">IF(AND(ISNUMBER(F97),ISNUMBER(F100)),F97+F100,"SLO 不可達")</f>
        <v>913542.128737021</v>
      </c>
      <c r="G105" s="67" t="n">
        <f aca="false">IF(AND(ISNUMBER(G97),ISNUMBER(G100)),G97+G100,"SLO 不可達")</f>
        <v>592838.408093639</v>
      </c>
      <c r="H105" s="67" t="n">
        <f aca="false">IF(AND(ISNUMBER(H97),ISNUMBER(H100)),H97+H100,"SLO 不可達")</f>
        <v>913542.128737021</v>
      </c>
      <c r="I105" s="67" t="n">
        <f aca="false">IF(AND(ISNUMBER(I97),ISNUMBER(I100)),I97+I100,"SLO 不可達")</f>
        <v>592838.408093639</v>
      </c>
      <c r="J105" s="67" t="n">
        <f aca="false">IF(AND(ISNUMBER(J97),ISNUMBER(J100)),J97+J100,"SLO 不可達")</f>
        <v>913542.128737021</v>
      </c>
      <c r="K105" s="67" t="n">
        <f aca="false">IF(AND(ISNUMBER(K97),ISNUMBER(K100)),K97+K100,"SLO 不可達")</f>
        <v>592838.408093639</v>
      </c>
      <c r="L105" s="67" t="n">
        <f aca="false">IF(AND(ISNUMBER(L97),ISNUMBER(L100)),L97+L100,"SLO 不可達")</f>
        <v>913542.128737021</v>
      </c>
      <c r="M105" s="67" t="n">
        <f aca="false">IF(AND(ISNUMBER(M97),ISNUMBER(M100)),M97+M100,"SLO 不可達")</f>
        <v>592838.408093639</v>
      </c>
      <c r="N105" s="67" t="n">
        <f aca="false">IF(AND(ISNUMBER(N97),ISNUMBER(N100)),N97+N100,"SLO 不可達")</f>
        <v>913542.128737021</v>
      </c>
      <c r="O105" s="67" t="n">
        <f aca="false">IF(AND(ISNUMBER(O97),ISNUMBER(O100)),O97+O100,"SLO 不可達")</f>
        <v>592838.408093639</v>
      </c>
      <c r="P105" s="67" t="n">
        <f aca="false">IF(AND(ISNUMBER(P97),ISNUMBER(P100)),P97+P100,"SLO 不可達")</f>
        <v>913542.128737021</v>
      </c>
      <c r="Q105" s="67" t="n">
        <f aca="false">IF(AND(ISNUMBER(Q97),ISNUMBER(Q100)),Q97+Q100,"SLO 不可達")</f>
        <v>592838.408093639</v>
      </c>
      <c r="R105" s="67" t="n">
        <f aca="false">IF(AND(ISNUMBER(R97),ISNUMBER(R100)),R97+R100,"SLO 不可達")</f>
        <v>913542.128737021</v>
      </c>
      <c r="S105" s="67" t="n">
        <f aca="false">IF(AND(ISNUMBER(S97),ISNUMBER(S100)),S97+S100,"SLO 不可達")</f>
        <v>592838.408093639</v>
      </c>
      <c r="T105" s="67" t="n">
        <f aca="false">IF(AND(ISNUMBER(T97),ISNUMBER(T100)),T97+T100,"SLO 不可達")</f>
        <v>913542.128737021</v>
      </c>
      <c r="U105" s="67" t="n">
        <f aca="false">IF(AND(ISNUMBER(U97),ISNUMBER(U100)),U97+U100,"SLO 不可達")</f>
        <v>592838.408093639</v>
      </c>
      <c r="V105" s="67" t="n">
        <f aca="false">IF(AND(ISNUMBER(V97),ISNUMBER(V100)),V97+V100,"SLO 不可達")</f>
        <v>913542.128737021</v>
      </c>
      <c r="W105" s="67" t="n">
        <f aca="false">IF(AND(ISNUMBER(W97),ISNUMBER(W100)),W97+W100,"SLO 不可達")</f>
        <v>594611.578217</v>
      </c>
      <c r="X105" s="67" t="n">
        <f aca="false">IF(AND(ISNUMBER(X97),ISNUMBER(X100)),X97+X100,"SLO 不可達")</f>
        <v>928896.82443303</v>
      </c>
      <c r="Y105" s="67" t="n">
        <f aca="false">IF(AND(ISNUMBER(Y97),ISNUMBER(Y100)),Y97+Y100,"SLO 不可達")</f>
        <v>3456.38955362504</v>
      </c>
      <c r="Z105" s="67" t="n">
        <f aca="false">IF(AND(ISNUMBER(Z97),ISNUMBER(Z100)),Z97+Z100,"SLO 不可達")</f>
        <v>29469.1009270007</v>
      </c>
      <c r="AA105" s="67" t="n">
        <f aca="false">IF(AND(ISNUMBER(AA97),ISNUMBER(AA100)),AA97+AA100,"SLO 不可達")</f>
        <v>1771602.44517367</v>
      </c>
      <c r="AB105" s="67" t="n">
        <f aca="false">IF(AND(ISNUMBER(AB97),ISNUMBER(AB100)),AB97+AB100,"SLO 不可達")</f>
        <v>2681688.18435706</v>
      </c>
      <c r="AC105" s="67" t="n">
        <f aca="false">IF(AND(ISNUMBER(AC97),ISNUMBER(AC100)),AC97+AC100,"SLO 不可達")</f>
        <v>592838.408093639</v>
      </c>
      <c r="AD105" s="67" t="n">
        <f aca="false">IF(AND(ISNUMBER(AD97),ISNUMBER(AD100)),AD97+AD100,"SLO 不可達")</f>
        <v>913542.128737021</v>
      </c>
      <c r="AE105" s="67" t="n">
        <f aca="false">IF(AND(ISNUMBER(AE97),ISNUMBER(AE100)),AE97+AE100,"SLO 不可達")</f>
        <v>592838.408093639</v>
      </c>
      <c r="AF105" s="67" t="n">
        <f aca="false">IF(AND(ISNUMBER(AF97),ISNUMBER(AF100)),AF97+AF100,"SLO 不可達")</f>
        <v>913542.128737021</v>
      </c>
      <c r="AG105" s="67" t="n">
        <f aca="false">IF(AND(ISNUMBER(AG97),ISNUMBER(AG100)),AG97+AG100,"SLO 不可達")</f>
        <v>592838.408093639</v>
      </c>
      <c r="AH105" s="67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0" t="s">
        <v>1086</v>
      </c>
      <c r="B106" s="61" t="s">
        <v>1023</v>
      </c>
      <c r="C106" s="70" t="n">
        <f aca="false">IF(AND(ISNUMBER(C104),ISNUMBER(C105)),C103+C104+C105,"SLO 不可達")</f>
        <v>2051289.25958755</v>
      </c>
      <c r="D106" s="70" t="n">
        <f aca="false">IF(AND(ISNUMBER(D104),ISNUMBER(D105)),D103+D104+D105,"SLO 不可達")</f>
        <v>12784087.465584</v>
      </c>
      <c r="E106" s="70" t="n">
        <f aca="false">IF(AND(ISNUMBER(E104),ISNUMBER(E105)),E103+E104+E105,"SLO 不可達")</f>
        <v>2883894.90272074</v>
      </c>
      <c r="F106" s="70" t="n">
        <f aca="false">IF(AND(ISNUMBER(F104),ISNUMBER(F105)),F103+F104+F105,"SLO 不可達")</f>
        <v>18428099.0217039</v>
      </c>
      <c r="G106" s="70" t="n">
        <f aca="false">IF(AND(ISNUMBER(G104),ISNUMBER(G105)),G103+G104+G105,"SLO 不可達")</f>
        <v>1582948.58532514</v>
      </c>
      <c r="H106" s="70" t="n">
        <f aca="false">IF(AND(ISNUMBER(H104),ISNUMBER(H105)),H103+H104+H105,"SLO 不可達")</f>
        <v>9609330.96526654</v>
      </c>
      <c r="I106" s="70" t="n">
        <f aca="false">IF(AND(ISNUMBER(I104),ISNUMBER(I105)),I103+I104+I105,"SLO 不可達")</f>
        <v>1426835.02723766</v>
      </c>
      <c r="J106" s="70" t="n">
        <f aca="false">IF(AND(ISNUMBER(J104),ISNUMBER(J105)),J103+J104+J105,"SLO 不可達")</f>
        <v>8551078.79849405</v>
      </c>
      <c r="K106" s="70" t="n">
        <f aca="false">IF(AND(ISNUMBER(K104),ISNUMBER(K105)),K103+K104+K105,"SLO 不可達")</f>
        <v>1543973.42821119</v>
      </c>
      <c r="L106" s="70" t="n">
        <f aca="false">IF(AND(ISNUMBER(L104),ISNUMBER(L105)),L103+L104+L105,"SLO 不可達")</f>
        <v>10102375.5841025</v>
      </c>
      <c r="M106" s="70" t="n">
        <f aca="false">IF(AND(ISNUMBER(M104),ISNUMBER(M105)),M103+M104+M105,"SLO 不可達")</f>
        <v>2731092.47363188</v>
      </c>
      <c r="N106" s="70" t="n">
        <f aca="false">IF(AND(ISNUMBER(N104),ISNUMBER(N105)),N103+N104+N105,"SLO 不可達")</f>
        <v>16377581.3867692</v>
      </c>
      <c r="O106" s="70" t="n">
        <f aca="false">IF(AND(ISNUMBER(O104),ISNUMBER(O105)),O103+O104+O105,"SLO 不可達")</f>
        <v>1787507.00571145</v>
      </c>
      <c r="P106" s="70" t="n">
        <f aca="false">IF(AND(ISNUMBER(P104),ISNUMBER(P105)),P103+P104+P105,"SLO 不可達")</f>
        <v>8552238.091967</v>
      </c>
      <c r="Q106" s="70" t="n">
        <f aca="false">IF(AND(ISNUMBER(Q104),ISNUMBER(Q105)),Q103+Q104+Q105,"SLO 不可達")</f>
        <v>2804952.84209071</v>
      </c>
      <c r="R106" s="70" t="n">
        <f aca="false">IF(AND(ISNUMBER(R104),ISNUMBER(R105)),R103+R104+R105,"SLO 不可達")</f>
        <v>24875085.6759183</v>
      </c>
      <c r="S106" s="70" t="n">
        <f aca="false">IF(AND(ISNUMBER(S104),ISNUMBER(S105)),S103+S104+S105,"SLO 不可達")</f>
        <v>2138163.65067722</v>
      </c>
      <c r="T106" s="70" t="n">
        <f aca="false">IF(AND(ISNUMBER(T104),ISNUMBER(T105)),T103+T104+T105,"SLO 不可達")</f>
        <v>14201317.1713302</v>
      </c>
      <c r="U106" s="70" t="n">
        <f aca="false">IF(AND(ISNUMBER(U104),ISNUMBER(U105)),U103+U104+U105,"SLO 不可達")</f>
        <v>2029342.04499648</v>
      </c>
      <c r="V106" s="70" t="n">
        <f aca="false">IF(AND(ISNUMBER(V104),ISNUMBER(V105)),V103+V104+V105,"SLO 不可達")</f>
        <v>12426050.4872902</v>
      </c>
      <c r="W106" s="70" t="n">
        <f aca="false">IF(AND(ISNUMBER(W104),ISNUMBER(W105)),W103+W104+W105,"SLO 不可達")</f>
        <v>2160171.75087962</v>
      </c>
      <c r="X106" s="70" t="n">
        <f aca="false">IF(AND(ISNUMBER(X104),ISNUMBER(X105)),X103+X104+X105,"SLO 不可達")</f>
        <v>14573485.5578506</v>
      </c>
      <c r="Y106" s="70" t="n">
        <f aca="false">IF(AND(ISNUMBER(Y104),ISNUMBER(Y105)),Y103+Y104+Y105,"SLO 不可達")</f>
        <v>1461907.24104754</v>
      </c>
      <c r="Z106" s="70" t="n">
        <f aca="false">IF(AND(ISNUMBER(Z104),ISNUMBER(Z105)),Z103+Z104+Z105,"SLO 不可達")</f>
        <v>11900014.437774</v>
      </c>
      <c r="AA106" s="70" t="n">
        <f aca="false">IF(AND(ISNUMBER(AA104),ISNUMBER(AA105)),AA103+AA104+AA105,"SLO 不可達")</f>
        <v>3230053.29666758</v>
      </c>
      <c r="AB106" s="70" t="n">
        <f aca="false">IF(AND(ISNUMBER(AB104),ISNUMBER(AB105)),AB103+AB104+AB105,"SLO 不可達")</f>
        <v>14552233.521204</v>
      </c>
      <c r="AC106" s="70" t="n">
        <f aca="false">IF(AND(ISNUMBER(AC104),ISNUMBER(AC105)),AC103+AC104+AC105,"SLO 不可達")</f>
        <v>2051289.25958755</v>
      </c>
      <c r="AD106" s="70" t="n">
        <f aca="false">IF(AND(ISNUMBER(AD104),ISNUMBER(AD105)),AD103+AD104+AD105,"SLO 不可達")</f>
        <v>12784087.465584</v>
      </c>
      <c r="AE106" s="70" t="n">
        <f aca="false">IF(AND(ISNUMBER(AE104),ISNUMBER(AE105)),AE103+AE104+AE105,"SLO 不可達")</f>
        <v>2051289.25958755</v>
      </c>
      <c r="AF106" s="70" t="n">
        <f aca="false">IF(AND(ISNUMBER(AF104),ISNUMBER(AF105)),AF103+AF104+AF105,"SLO 不可達")</f>
        <v>12784087.465584</v>
      </c>
      <c r="AG106" s="70" t="n">
        <f aca="false">IF(AND(ISNUMBER(AG104),ISNUMBER(AG105)),AG103+AG104+AG105,"SLO 不可達")</f>
        <v>2207402.81767502</v>
      </c>
      <c r="AH106" s="70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0" t="s">
        <v>1087</v>
      </c>
      <c r="B107" s="61" t="s">
        <v>314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0" t="s">
        <v>1088</v>
      </c>
      <c r="B108" s="61" t="s">
        <v>314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0" t="s">
        <v>1089</v>
      </c>
      <c r="B109" s="61" t="s">
        <v>314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0" t="s">
        <v>1090</v>
      </c>
      <c r="B110" s="61" t="s">
        <v>99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0" t="s">
        <v>1091</v>
      </c>
      <c r="B111" s="61" t="s">
        <v>99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0.238550549238054</v>
      </c>
      <c r="F111" s="101" t="n">
        <f aca="false">IF(AND(ISNUMBER(F104)),F104/(F103+F104),"SLO 不可達")</f>
        <v>0.459094328259101</v>
      </c>
      <c r="G111" s="101" t="n">
        <f aca="false">IF(AND(ISNUMBER(G104)),G104/(G103+G104),"SLO 不可達")</f>
        <v>0.339269097413852</v>
      </c>
      <c r="H111" s="101" t="n">
        <f aca="false">IF(AND(ISNUMBER(H104)),H104/(H103+H104),"SLO 不可達")</f>
        <v>0.591452109483862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0" t="s">
        <v>1092</v>
      </c>
      <c r="B112" s="61" t="s">
        <v>1023</v>
      </c>
      <c r="C112" s="67" t="n">
        <f aca="false">IF(AND(ISNUMBER(C65),ISNUMBER(C86),ISNUMBER(C97),ISNUMBER(C100)),C65+C74+C86+C87+C97+C100,"SLO 不可達")</f>
        <v>802380.794887774</v>
      </c>
      <c r="D112" s="67" t="n">
        <f aca="false">IF(AND(ISNUMBER(D65),ISNUMBER(D86),ISNUMBER(D97),ISNUMBER(D100)),D65+D74+D86+D87+D97+D100,"SLO 不可達")</f>
        <v>4318070.1314041</v>
      </c>
      <c r="E112" s="67" t="n">
        <f aca="false">IF(AND(ISNUMBER(E65),ISNUMBER(E86),ISNUMBER(E97),ISNUMBER(E100)),E65+E74+E86+E87+E97+E100,"SLO 不可達")</f>
        <v>802380.794887774</v>
      </c>
      <c r="F112" s="67" t="n">
        <f aca="false">IF(AND(ISNUMBER(F65),ISNUMBER(F86),ISNUMBER(F97),ISNUMBER(F100)),F65+F74+F86+F87+F97+F100,"SLO 不可達")</f>
        <v>4318070.1314041</v>
      </c>
      <c r="G112" s="67" t="n">
        <f aca="false">IF(AND(ISNUMBER(G65),ISNUMBER(G86),ISNUMBER(G97),ISNUMBER(G100)),G65+G74+G86+G87+G97+G100,"SLO 不可達")</f>
        <v>802380.794887774</v>
      </c>
      <c r="H112" s="67" t="n">
        <f aca="false">IF(AND(ISNUMBER(H65),ISNUMBER(H86),ISNUMBER(H97),ISNUMBER(H100)),H65+H74+H86+H87+H97+H100,"SLO 不可達")</f>
        <v>4318070.1314041</v>
      </c>
      <c r="I112" s="67" t="n">
        <f aca="false">IF(AND(ISNUMBER(I65),ISNUMBER(I86),ISNUMBER(I97),ISNUMBER(I100)),I65+I74+I86+I87+I97+I100,"SLO 不可達")</f>
        <v>802380.794887774</v>
      </c>
      <c r="J112" s="67" t="n">
        <f aca="false">IF(AND(ISNUMBER(J65),ISNUMBER(J86),ISNUMBER(J97),ISNUMBER(J100)),J65+J74+J86+J87+J97+J100,"SLO 不可達")</f>
        <v>4318070.1314041</v>
      </c>
      <c r="K112" s="67" t="n">
        <f aca="false">IF(AND(ISNUMBER(K65),ISNUMBER(K86),ISNUMBER(K97),ISNUMBER(K100)),K65+K74+K86+K87+K97+K100,"SLO 不可達")</f>
        <v>802380.794887774</v>
      </c>
      <c r="L112" s="67" t="n">
        <f aca="false">IF(AND(ISNUMBER(L65),ISNUMBER(L86),ISNUMBER(L97),ISNUMBER(L100)),L65+L74+L86+L87+L97+L100,"SLO 不可達")</f>
        <v>4318070.1314041</v>
      </c>
      <c r="M112" s="67" t="n">
        <f aca="false">IF(AND(ISNUMBER(M65),ISNUMBER(M86),ISNUMBER(M97),ISNUMBER(M100)),M65+M74+M86+M87+M97+M100,"SLO 不可達")</f>
        <v>802380.794887774</v>
      </c>
      <c r="N112" s="67" t="n">
        <f aca="false">IF(AND(ISNUMBER(N65),ISNUMBER(N86),ISNUMBER(N97),ISNUMBER(N100)),N65+N74+N86+N87+N97+N100,"SLO 不可達")</f>
        <v>4318070.1314041</v>
      </c>
      <c r="O112" s="67" t="n">
        <f aca="false">IF(AND(ISNUMBER(O65),ISNUMBER(O86),ISNUMBER(O97),ISNUMBER(O100)),O65+O74+O86+O87+O97+O100,"SLO 不可達")</f>
        <v>667817.571680837</v>
      </c>
      <c r="P112" s="67" t="n">
        <f aca="false">IF(AND(ISNUMBER(P65),ISNUMBER(P86),ISNUMBER(P97),ISNUMBER(P100)),P65+P74+P86+P87+P97+P100,"SLO 不可達")</f>
        <v>1985661.56845377</v>
      </c>
      <c r="Q112" s="67" t="n">
        <f aca="false">IF(AND(ISNUMBER(Q65),ISNUMBER(Q86),ISNUMBER(Q97),ISNUMBER(Q100)),Q65+Q74+Q86+Q87+Q97+Q100,"SLO 不可達")</f>
        <v>1186847.14690759</v>
      </c>
      <c r="R112" s="67" t="n">
        <f aca="false">IF(AND(ISNUMBER(R65),ISNUMBER(R86),ISNUMBER(R97),ISNUMBER(R100)),R65+R74+R86+R87+R97+R100,"SLO 不可達")</f>
        <v>10982094.5969765</v>
      </c>
      <c r="S112" s="67" t="n">
        <f aca="false">IF(AND(ISNUMBER(S65),ISNUMBER(S86),ISNUMBER(S97),ISNUMBER(S100)),S65+S74+S86+S87+S97+S100,"SLO 不可達")</f>
        <v>889255.185977442</v>
      </c>
      <c r="T112" s="67" t="n">
        <f aca="false">IF(AND(ISNUMBER(T65),ISNUMBER(T86),ISNUMBER(T97),ISNUMBER(T100)),T65+T74+T86+T87+T97+T100,"SLO 不可達")</f>
        <v>5735299.83715031</v>
      </c>
      <c r="U112" s="67" t="n">
        <f aca="false">IF(AND(ISNUMBER(U65),ISNUMBER(U86),ISNUMBER(U97),ISNUMBER(U100)),U65+U74+U86+U87+U97+U100,"SLO 不可達")</f>
        <v>780433.5802967</v>
      </c>
      <c r="V112" s="67" t="n">
        <f aca="false">IF(AND(ISNUMBER(V65),ISNUMBER(V86),ISNUMBER(V97),ISNUMBER(V100)),V65+V74+V86+V87+V97+V100,"SLO 不可達")</f>
        <v>3960033.15311033</v>
      </c>
      <c r="W112" s="67" t="n">
        <f aca="false">IF(AND(ISNUMBER(W65),ISNUMBER(W86),ISNUMBER(W97),ISNUMBER(W100)),W65+W74+W86+W87+W97+W100,"SLO 不可達")</f>
        <v>911263.286179845</v>
      </c>
      <c r="X112" s="67" t="n">
        <f aca="false">IF(AND(ISNUMBER(X65),ISNUMBER(X86),ISNUMBER(X97),ISNUMBER(X100)),X65+X74+X86+X87+X97+X100,"SLO 不可達")</f>
        <v>6107468.22367072</v>
      </c>
      <c r="Y112" s="67" t="n">
        <f aca="false">IF(AND(ISNUMBER(Y65),ISNUMBER(Y86),ISNUMBER(Y97),ISNUMBER(Y100)),Y65+Y74+Y86+Y87+Y97+Y100,"SLO 不可達")</f>
        <v>212998.77634776</v>
      </c>
      <c r="Z112" s="67" t="n">
        <f aca="false">IF(AND(ISNUMBER(Z65),ISNUMBER(Z86),ISNUMBER(Z97),ISNUMBER(Z100)),Z65+Z74+Z86+Z87+Z97+Z100,"SLO 不可達")</f>
        <v>3433997.10359408</v>
      </c>
      <c r="AA112" s="67" t="n">
        <f aca="false">IF(AND(ISNUMBER(AA65),ISNUMBER(AA86),ISNUMBER(AA97),ISNUMBER(AA100)),AA65+AA74+AA86+AA87+AA97+AA100,"SLO 不可達")</f>
        <v>1981144.8319678</v>
      </c>
      <c r="AB112" s="67" t="n">
        <f aca="false">IF(AND(ISNUMBER(AB65),ISNUMBER(AB86),ISNUMBER(AB97),ISNUMBER(AB100)),AB65+AB74+AB86+AB87+AB97+AB100,"SLO 不可達")</f>
        <v>6086216.18702414</v>
      </c>
      <c r="AC112" s="67" t="n">
        <f aca="false">IF(AND(ISNUMBER(AC65),ISNUMBER(AC86),ISNUMBER(AC97),ISNUMBER(AC100)),AC65+AC74+AC86+AC87+AC97+AC100,"SLO 不可達")</f>
        <v>802380.794887774</v>
      </c>
      <c r="AD112" s="67" t="n">
        <f aca="false">IF(AND(ISNUMBER(AD65),ISNUMBER(AD86),ISNUMBER(AD97),ISNUMBER(AD100)),AD65+AD74+AD86+AD87+AD97+AD100,"SLO 不可達")</f>
        <v>4318070.1314041</v>
      </c>
      <c r="AE112" s="67" t="n">
        <f aca="false">IF(AND(ISNUMBER(AE65),ISNUMBER(AE86),ISNUMBER(AE97),ISNUMBER(AE100)),AE65+AE74+AE86+AE87+AE97+AE100,"SLO 不可達")</f>
        <v>802380.794887774</v>
      </c>
      <c r="AF112" s="67" t="n">
        <f aca="false">IF(AND(ISNUMBER(AF65),ISNUMBER(AF86),ISNUMBER(AF97),ISNUMBER(AF100)),AF65+AF74+AF86+AF87+AF97+AF100,"SLO 不可達")</f>
        <v>4318070.1314041</v>
      </c>
      <c r="AG112" s="67" t="n">
        <f aca="false">IF(AND(ISNUMBER(AG65),ISNUMBER(AG86),ISNUMBER(AG97),ISNUMBER(AG100)),AG65+AG74+AG86+AG87+AG97+AG100,"SLO 不可達")</f>
        <v>802380.794887774</v>
      </c>
      <c r="AH112" s="67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0" t="s">
        <v>1093</v>
      </c>
      <c r="B113" s="61" t="s">
        <v>1023</v>
      </c>
      <c r="C113" s="67" t="n">
        <f aca="false">C36+C43+C51+C72+C89</f>
        <v>1248908.46469978</v>
      </c>
      <c r="D113" s="67" t="n">
        <f aca="false">D36+D43+D51+D72+D89</f>
        <v>8466017.33417989</v>
      </c>
      <c r="E113" s="67" t="n">
        <f aca="false">E36+E43+E51+E72+E89</f>
        <v>2081514.10783296</v>
      </c>
      <c r="F113" s="67" t="n">
        <f aca="false">F36+F43+F51+F72+F89</f>
        <v>14110028.8902998</v>
      </c>
      <c r="G113" s="67" t="n">
        <f aca="false">G36+G43+G51+G72+G89</f>
        <v>780567.790437361</v>
      </c>
      <c r="H113" s="67" t="n">
        <f aca="false">H36+H43+H51+H72+H89</f>
        <v>5291260.83386243</v>
      </c>
      <c r="I113" s="67" t="n">
        <f aca="false">I36+I43+I51+I72+I89</f>
        <v>624454.232349889</v>
      </c>
      <c r="J113" s="67" t="n">
        <f aca="false">J36+J43+J51+J72+J89</f>
        <v>4233008.66708995</v>
      </c>
      <c r="K113" s="67" t="n">
        <f aca="false">K36+K43+K51+K72+K89</f>
        <v>741592.633323412</v>
      </c>
      <c r="L113" s="67" t="n">
        <f aca="false">L36+L43+L51+L72+L89</f>
        <v>5784305.45269841</v>
      </c>
      <c r="M113" s="67" t="n">
        <f aca="false">M36+M43+M51+M72+M89</f>
        <v>1928711.67874411</v>
      </c>
      <c r="N113" s="67" t="n">
        <f aca="false">N36+N43+N51+N72+N89</f>
        <v>12059511.2553651</v>
      </c>
      <c r="O113" s="67" t="n">
        <f aca="false">O36+O43+O51+O72+O89</f>
        <v>1119689.43403061</v>
      </c>
      <c r="P113" s="67" t="n">
        <f aca="false">P36+P43+P51+P72+P89</f>
        <v>6566576.52351323</v>
      </c>
      <c r="Q113" s="67" t="n">
        <f aca="false">Q36+Q43+Q51+Q72+Q89</f>
        <v>1618105.69518312</v>
      </c>
      <c r="R113" s="67" t="n">
        <f aca="false">R36+R43+R51+R72+R89</f>
        <v>13892991.0789418</v>
      </c>
      <c r="S113" s="67" t="n">
        <f aca="false">S36+S43+S51+S72+S89</f>
        <v>1248908.46469978</v>
      </c>
      <c r="T113" s="67" t="n">
        <f aca="false">T36+T43+T51+T72+T89</f>
        <v>8466017.33417989</v>
      </c>
      <c r="U113" s="67" t="n">
        <f aca="false">U36+U43+U51+U72+U89</f>
        <v>1248908.46469978</v>
      </c>
      <c r="V113" s="67" t="n">
        <f aca="false">V36+V43+V51+V72+V89</f>
        <v>8466017.33417989</v>
      </c>
      <c r="W113" s="67" t="n">
        <f aca="false">W36+W43+W51+W72+W89</f>
        <v>1248908.46469978</v>
      </c>
      <c r="X113" s="67" t="n">
        <f aca="false">X36+X43+X51+X72+X89</f>
        <v>8466017.33417989</v>
      </c>
      <c r="Y113" s="67" t="n">
        <f aca="false">Y36+Y43+Y51+Y72+Y89</f>
        <v>1248908.46469978</v>
      </c>
      <c r="Z113" s="67" t="n">
        <f aca="false">Z36+Z43+Z51+Z72+Z89</f>
        <v>8466017.33417989</v>
      </c>
      <c r="AA113" s="67" t="n">
        <f aca="false">AA36+AA43+AA51+AA72+AA89</f>
        <v>1248908.46469978</v>
      </c>
      <c r="AB113" s="67" t="n">
        <f aca="false">AB36+AB43+AB51+AB72+AB89</f>
        <v>8466017.33417989</v>
      </c>
      <c r="AC113" s="67" t="n">
        <f aca="false">AC36+AC43+AC51+AC72+AC89</f>
        <v>1248908.46469978</v>
      </c>
      <c r="AD113" s="67" t="n">
        <f aca="false">AD36+AD43+AD51+AD72+AD89</f>
        <v>8466017.33417989</v>
      </c>
      <c r="AE113" s="67" t="n">
        <f aca="false">AE36+AE43+AE51+AE72+AE89</f>
        <v>1248908.46469978</v>
      </c>
      <c r="AF113" s="67" t="n">
        <f aca="false">AF36+AF43+AF51+AF72+AF89</f>
        <v>8466017.33417989</v>
      </c>
      <c r="AG113" s="67" t="n">
        <f aca="false">AG36+AG43+AG51+AG72+AG89</f>
        <v>1405022.02278725</v>
      </c>
      <c r="AH113" s="67" t="n">
        <f aca="false">AH36+AH43+AH51+AH72+AH89</f>
        <v>9524269.50095238</v>
      </c>
    </row>
    <row r="114" customFormat="false" ht="15" hidden="false" customHeight="false" outlineLevel="0" collapsed="false">
      <c r="A114" s="60" t="s">
        <v>1094</v>
      </c>
      <c r="B114" s="61" t="s">
        <v>99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0.278228167791686</v>
      </c>
      <c r="F114" s="103" t="n">
        <f aca="false">IF(AND(ISNUMBER(F112),ISNUMBER(F106)),F112/F106,"SLO 不可達")</f>
        <v>0.234319889768252</v>
      </c>
      <c r="G114" s="103" t="n">
        <f aca="false">IF(AND(ISNUMBER(G112),ISNUMBER(G106)),G112/G106,"SLO 不可達")</f>
        <v>0.506889991454123</v>
      </c>
      <c r="H114" s="103" t="n">
        <f aca="false">IF(AND(ISNUMBER(H112),ISNUMBER(H106)),H112/H106,"SLO 不可達")</f>
        <v>0.449362202947532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0" t="s">
        <v>1095</v>
      </c>
      <c r="B115" s="61" t="s">
        <v>877</v>
      </c>
      <c r="C115" s="112" t="n">
        <f aca="false">IF(AND(ISNUMBER(C106)),C106*C19/1000000,"SLO 不可達")</f>
        <v>9.8126535738025</v>
      </c>
      <c r="D115" s="112" t="n">
        <f aca="false">IF(AND(ISNUMBER(D106)),D106*D19/1000000,"SLO 不可達")</f>
        <v>61.1546231086832</v>
      </c>
      <c r="E115" s="112" t="n">
        <f aca="false">IF(AND(ISNUMBER(E106)),E106*E19/1000000,"SLO 不可達")</f>
        <v>13.7955490632966</v>
      </c>
      <c r="F115" s="112" t="n">
        <f aca="false">IF(AND(ISNUMBER(F106)),F106*F19/1000000,"SLO 不可達")</f>
        <v>88.1536091892121</v>
      </c>
      <c r="G115" s="112" t="n">
        <f aca="false">IF(AND(ISNUMBER(G106)),G106*G19/1000000,"SLO 不可達")</f>
        <v>7.57227486096206</v>
      </c>
      <c r="H115" s="112" t="n">
        <f aca="false">IF(AND(ISNUMBER(H106)),H106*H19/1000000,"SLO 不可達")</f>
        <v>45.9676934383856</v>
      </c>
      <c r="I115" s="112" t="n">
        <f aca="false">IF(AND(ISNUMBER(I106)),I106*I19/1000000,"SLO 不可達")</f>
        <v>6.82548195668191</v>
      </c>
      <c r="J115" s="112" t="n">
        <f aca="false">IF(AND(ISNUMBER(J106)),J106*J19/1000000,"SLO 不可達")</f>
        <v>40.9053835482865</v>
      </c>
      <c r="K115" s="112" t="n">
        <f aca="false">IF(AND(ISNUMBER(K106)),K106*K19/1000000,"SLO 不可達")</f>
        <v>7.38583128019636</v>
      </c>
      <c r="L115" s="112" t="n">
        <f aca="false">IF(AND(ISNUMBER(L106)),L106*L19/1000000,"SLO 不可達")</f>
        <v>48.3262472203314</v>
      </c>
      <c r="M115" s="112" t="n">
        <f aca="false">IF(AND(ISNUMBER(M106)),M106*M19/1000000,"SLO 不可達")</f>
        <v>13.0645954472347</v>
      </c>
      <c r="N115" s="112" t="n">
        <f aca="false">IF(AND(ISNUMBER(N106)),N106*N19/1000000,"SLO 不可達")</f>
        <v>78.3446467990745</v>
      </c>
      <c r="O115" s="112" t="n">
        <f aca="false">IF(AND(ISNUMBER(O106)),O106*O19/1000000,"SLO 不可達")</f>
        <v>8.55081111832965</v>
      </c>
      <c r="P115" s="112" t="n">
        <f aca="false">IF(AND(ISNUMBER(P106)),P106*P19/1000000,"SLO 不可達")</f>
        <v>40.9109292046035</v>
      </c>
      <c r="Q115" s="112" t="n">
        <f aca="false">IF(AND(ISNUMBER(Q106)),Q106*Q19/1000000,"SLO 不可達")</f>
        <v>13.4179177322963</v>
      </c>
      <c r="R115" s="112" t="n">
        <f aca="false">IF(AND(ISNUMBER(R106)),R106*R19/1000000,"SLO 不可達")</f>
        <v>118.993748548911</v>
      </c>
      <c r="S115" s="112" t="n">
        <f aca="false">IF(AND(ISNUMBER(S106)),S106*S19/1000000,"SLO 不可達")</f>
        <v>10.2282304117417</v>
      </c>
      <c r="T115" s="112" t="n">
        <f aca="false">IF(AND(ISNUMBER(T106)),T106*T19/1000000,"SLO 不可達")</f>
        <v>67.9341565518533</v>
      </c>
      <c r="U115" s="112" t="n">
        <f aca="false">IF(AND(ISNUMBER(U106)),U106*U19/1000000,"SLO 不可達")</f>
        <v>9.70766574105997</v>
      </c>
      <c r="V115" s="112" t="n">
        <f aca="false">IF(AND(ISNUMBER(V106)),V106*V19/1000000,"SLO 不可達")</f>
        <v>59.4418988704086</v>
      </c>
      <c r="W115" s="112" t="n">
        <f aca="false">IF(AND(ISNUMBER(W106)),W106*W19/1000000,"SLO 不可達")</f>
        <v>10.3335095000488</v>
      </c>
      <c r="X115" s="112" t="n">
        <f aca="false">IF(AND(ISNUMBER(X106)),X106*X19/1000000,"SLO 不可達")</f>
        <v>69.7144805266301</v>
      </c>
      <c r="Y115" s="112" t="n">
        <f aca="false">IF(AND(ISNUMBER(Y106)),Y106*Y19/1000000,"SLO 不可達")</f>
        <v>6.99325521565751</v>
      </c>
      <c r="Z115" s="112" t="n">
        <f aca="false">IF(AND(ISNUMBER(Z106)),Z106*Z19/1000000,"SLO 不可達")</f>
        <v>56.9255255714657</v>
      </c>
      <c r="AA115" s="112" t="n">
        <f aca="false">IF(AND(ISNUMBER(AA106)),AA106*AA19/1000000,"SLO 不可達")</f>
        <v>15.4514502900925</v>
      </c>
      <c r="AB115" s="112" t="n">
        <f aca="false">IF(AND(ISNUMBER(AB106)),AB106*AB19/1000000,"SLO 不可達")</f>
        <v>69.6128181831181</v>
      </c>
      <c r="AC115" s="112" t="n">
        <f aca="false">IF(AND(ISNUMBER(AC106)),AC106*AC19/1000000,"SLO 不可達")</f>
        <v>9.8126535738025</v>
      </c>
      <c r="AD115" s="112" t="n">
        <f aca="false">IF(AND(ISNUMBER(AD106)),AD106*AD19/1000000,"SLO 不可達")</f>
        <v>61.1546231086832</v>
      </c>
      <c r="AE115" s="112" t="n">
        <f aca="false">IF(AND(ISNUMBER(AE106)),AE106*AE19/1000000,"SLO 不可達")</f>
        <v>9.8126535738025</v>
      </c>
      <c r="AF115" s="112" t="n">
        <f aca="false">IF(AND(ISNUMBER(AF106)),AF106*AF19/1000000,"SLO 不可達")</f>
        <v>61.1546231086832</v>
      </c>
      <c r="AG115" s="112" t="n">
        <f aca="false">IF(AND(ISNUMBER(AG106)),AG106*AG19/1000000,"SLO 不可達")</f>
        <v>10.5594464780826</v>
      </c>
      <c r="AH115" s="112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0" t="s">
        <v>1096</v>
      </c>
      <c r="B116" s="61" t="s">
        <v>877</v>
      </c>
      <c r="C116" s="74" t="n">
        <f aca="false">IF(AND(ISNUMBER(C106)),C106*C20/1000000,"SLO 不可達")</f>
        <v>7.21758417804626</v>
      </c>
      <c r="D116" s="74" t="n">
        <f aca="false">IF(AND(ISNUMBER(D106)),D106*D20/1000000,"SLO 不可達")</f>
        <v>44.9815778009344</v>
      </c>
      <c r="E116" s="74" t="n">
        <f aca="false">IF(AND(ISNUMBER(E106)),E106*E20/1000000,"SLO 不可達")</f>
        <v>10.1471570251436</v>
      </c>
      <c r="F116" s="74" t="n">
        <f aca="false">IF(AND(ISNUMBER(F106)),F106*F20/1000000,"SLO 不可達")</f>
        <v>64.8403706638933</v>
      </c>
      <c r="G116" s="74" t="n">
        <f aca="false">IF(AND(ISNUMBER(G106)),G106*G20/1000000,"SLO 不可達")</f>
        <v>5.569699451554</v>
      </c>
      <c r="H116" s="74" t="n">
        <f aca="false">IF(AND(ISNUMBER(H106)),H106*H20/1000000,"SLO 不可達")</f>
        <v>33.81100681552</v>
      </c>
      <c r="I116" s="74" t="n">
        <f aca="false">IF(AND(ISNUMBER(I106)),I106*I20/1000000,"SLO 不可達")</f>
        <v>5.02040454272325</v>
      </c>
      <c r="J116" s="74" t="n">
        <f aca="false">IF(AND(ISNUMBER(J106)),J106*J20/1000000,"SLO 不可達")</f>
        <v>30.0874831537152</v>
      </c>
      <c r="K116" s="74" t="n">
        <f aca="false">IF(AND(ISNUMBER(K106)),K106*K20/1000000,"SLO 不可達")</f>
        <v>5.43256302576339</v>
      </c>
      <c r="L116" s="74" t="n">
        <f aca="false">IF(AND(ISNUMBER(L106)),L106*L20/1000000,"SLO 不可達")</f>
        <v>35.5458138513142</v>
      </c>
      <c r="M116" s="74" t="n">
        <f aca="false">IF(AND(ISNUMBER(M106)),M106*M20/1000000,"SLO 不可達")</f>
        <v>9.60951252210531</v>
      </c>
      <c r="N116" s="74" t="n">
        <f aca="false">IF(AND(ISNUMBER(N106)),N106*N20/1000000,"SLO 不可達")</f>
        <v>57.6255014934255</v>
      </c>
      <c r="O116" s="74" t="n">
        <f aca="false">IF(AND(ISNUMBER(O106)),O106*O20/1000000,"SLO 不可達")</f>
        <v>6.28945051131592</v>
      </c>
      <c r="P116" s="74" t="n">
        <f aca="false">IF(AND(ISNUMBER(P106)),P106*P20/1000000,"SLO 不可達")</f>
        <v>30.0915621972675</v>
      </c>
      <c r="Q116" s="74" t="n">
        <f aca="false">IF(AND(ISNUMBER(Q106)),Q106*Q20/1000000,"SLO 不可達")</f>
        <v>9.86939465441866</v>
      </c>
      <c r="R116" s="74" t="n">
        <f aca="false">IF(AND(ISNUMBER(R106)),R106*R20/1000000,"SLO 不可達")</f>
        <v>87.524479525697</v>
      </c>
      <c r="S116" s="74" t="n">
        <f aca="false">IF(AND(ISNUMBER(S106)),S106*S20/1000000,"SLO 不可達")</f>
        <v>7.52325692881778</v>
      </c>
      <c r="T116" s="74" t="n">
        <f aca="false">IF(AND(ISNUMBER(T106)),T106*T20/1000000,"SLO 不可達")</f>
        <v>49.968185444416</v>
      </c>
      <c r="U116" s="74" t="n">
        <f aca="false">IF(AND(ISNUMBER(U106)),U106*U20/1000000,"SLO 不可達")</f>
        <v>7.14036158837767</v>
      </c>
      <c r="V116" s="74" t="n">
        <f aca="false">IF(AND(ISNUMBER(V106)),V106*V20/1000000,"SLO 不可達")</f>
        <v>43.7218032383706</v>
      </c>
      <c r="W116" s="74" t="n">
        <f aca="false">IF(AND(ISNUMBER(W106)),W106*W20/1000000,"SLO 不可達")</f>
        <v>7.60069374815824</v>
      </c>
      <c r="X116" s="74" t="n">
        <f aca="false">IF(AND(ISNUMBER(X106)),X106*X20/1000000,"SLO 不可達")</f>
        <v>51.2776822136132</v>
      </c>
      <c r="Y116" s="74" t="n">
        <f aca="false">IF(AND(ISNUMBER(Y106)),Y106*Y20/1000000,"SLO 不可達")</f>
        <v>5.14380822862473</v>
      </c>
      <c r="Z116" s="74" t="n">
        <f aca="false">IF(AND(ISNUMBER(Z106)),Z106*Z20/1000000,"SLO 不可達")</f>
        <v>41.8709138768021</v>
      </c>
      <c r="AA116" s="74" t="n">
        <f aca="false">IF(AND(ISNUMBER(AA106)),AA106*AA20/1000000,"SLO 不可達")</f>
        <v>11.3651360768893</v>
      </c>
      <c r="AB116" s="74" t="n">
        <f aca="false">IF(AND(ISNUMBER(AB106)),AB106*AB20/1000000,"SLO 不可達")</f>
        <v>51.202905649199</v>
      </c>
      <c r="AC116" s="74" t="n">
        <f aca="false">IF(AND(ISNUMBER(AC106)),AC106*AC20/1000000,"SLO 不可達")</f>
        <v>7.21758417804626</v>
      </c>
      <c r="AD116" s="74" t="n">
        <f aca="false">IF(AND(ISNUMBER(AD106)),AD106*AD20/1000000,"SLO 不可達")</f>
        <v>44.9815778009344</v>
      </c>
      <c r="AE116" s="74" t="n">
        <f aca="false">IF(AND(ISNUMBER(AE106)),AE106*AE20/1000000,"SLO 不可達")</f>
        <v>7.21758417804626</v>
      </c>
      <c r="AF116" s="74" t="n">
        <f aca="false">IF(AND(ISNUMBER(AF106)),AF106*AF20/1000000,"SLO 不可達")</f>
        <v>44.9815778009344</v>
      </c>
      <c r="AG116" s="74" t="n">
        <f aca="false">IF(AND(ISNUMBER(AG106)),AG106*AG20/1000000,"SLO 不可達")</f>
        <v>7.76687908687701</v>
      </c>
      <c r="AH116" s="74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0" t="s">
        <v>1097</v>
      </c>
      <c r="B117" s="61" t="s">
        <v>99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0.00112842679501868</v>
      </c>
      <c r="F117" s="145" t="n">
        <f aca="false">IF(AND(ISNUMBER(F106)),F106/(F18*8760),"SLO 不可達")</f>
        <v>0.00721065136518321</v>
      </c>
      <c r="G117" s="145" t="n">
        <f aca="false">IF(AND(ISNUMBER(G106)),G106/(G18*8760),"SLO 不可達")</f>
        <v>0.000619385122922686</v>
      </c>
      <c r="H117" s="145" t="n">
        <f aca="false">IF(AND(ISNUMBER(H106)),H106/(H18*8760),"SLO 不可達")</f>
        <v>0.00375999365759809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5" t="s">
        <v>1098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</row>
    <row r="119" customFormat="false" ht="15" hidden="false" customHeight="false" outlineLevel="0" collapsed="false">
      <c r="A119" s="60" t="s">
        <v>1099</v>
      </c>
      <c r="B119" s="61" t="s">
        <v>103</v>
      </c>
      <c r="C119" s="108" t="n">
        <f aca="false">Train_In!$C$13</f>
        <v>8</v>
      </c>
      <c r="D119" s="108" t="n">
        <f aca="false">Train_In!$C$13</f>
        <v>8</v>
      </c>
      <c r="E119" s="108" t="n">
        <f aca="false">Train_In!$C$13</f>
        <v>8</v>
      </c>
      <c r="F119" s="108" t="n">
        <f aca="false">Train_In!$C$13</f>
        <v>8</v>
      </c>
      <c r="G119" s="108" t="n">
        <f aca="false">Train_In!$C$13</f>
        <v>8</v>
      </c>
      <c r="H119" s="108" t="n">
        <f aca="false">Train_In!$C$13</f>
        <v>8</v>
      </c>
      <c r="I119" s="108" t="n">
        <f aca="false">Train_In!$C$13</f>
        <v>8</v>
      </c>
      <c r="J119" s="108" t="n">
        <f aca="false">Train_In!$C$13</f>
        <v>8</v>
      </c>
      <c r="K119" s="108" t="n">
        <f aca="false">Train_In!$C$13</f>
        <v>8</v>
      </c>
      <c r="L119" s="108" t="n">
        <f aca="false">Train_In!$C$13</f>
        <v>8</v>
      </c>
      <c r="M119" s="108" t="n">
        <f aca="false">Train_In!$C$13</f>
        <v>8</v>
      </c>
      <c r="N119" s="108" t="n">
        <f aca="false">Train_In!$C$13</f>
        <v>8</v>
      </c>
      <c r="O119" s="108" t="n">
        <f aca="false">Train_In!$C$13</f>
        <v>8</v>
      </c>
      <c r="P119" s="108" t="n">
        <f aca="false">Train_In!$C$13</f>
        <v>8</v>
      </c>
      <c r="Q119" s="108" t="n">
        <f aca="false">Train_In!$C$13</f>
        <v>8</v>
      </c>
      <c r="R119" s="108" t="n">
        <f aca="false">Train_In!$C$13</f>
        <v>8</v>
      </c>
      <c r="S119" s="108" t="n">
        <f aca="false">Train_In!$C$13</f>
        <v>8</v>
      </c>
      <c r="T119" s="108" t="n">
        <f aca="false">Train_In!$C$13</f>
        <v>8</v>
      </c>
      <c r="U119" s="108" t="n">
        <f aca="false">Train_In!$C$13</f>
        <v>8</v>
      </c>
      <c r="V119" s="108" t="n">
        <f aca="false">Train_In!$C$13</f>
        <v>8</v>
      </c>
      <c r="W119" s="108" t="n">
        <f aca="false">Train_In!$C$13</f>
        <v>8</v>
      </c>
      <c r="X119" s="108" t="n">
        <f aca="false">Train_In!$C$13</f>
        <v>8</v>
      </c>
      <c r="Y119" s="108" t="n">
        <f aca="false">Train_In!$C$13</f>
        <v>8</v>
      </c>
      <c r="Z119" s="108" t="n">
        <f aca="false">Train_In!$C$13</f>
        <v>8</v>
      </c>
      <c r="AA119" s="108" t="n">
        <f aca="false">Train_In!$C$13</f>
        <v>8</v>
      </c>
      <c r="AB119" s="108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08" t="n">
        <f aca="false">Train_In!$C$13</f>
        <v>8</v>
      </c>
      <c r="AH119" s="108" t="n">
        <f aca="false">Train_In!$C$13</f>
        <v>8</v>
      </c>
    </row>
    <row r="120" customFormat="false" ht="15" hidden="false" customHeight="false" outlineLevel="0" collapsed="false">
      <c r="A120" s="60" t="s">
        <v>1100</v>
      </c>
      <c r="B120" s="61" t="s">
        <v>1023</v>
      </c>
      <c r="C120" s="70" t="n">
        <f aca="false">IF(AND(ISNUMBER(C106)),C106*C119,"SLO 不可達")</f>
        <v>16410314.0767004</v>
      </c>
      <c r="D120" s="70" t="n">
        <f aca="false">IF(AND(ISNUMBER(D106)),D106*D119,"SLO 不可達")</f>
        <v>102272699.724672</v>
      </c>
      <c r="E120" s="70" t="n">
        <f aca="false">IF(AND(ISNUMBER(E106)),E106*E119,"SLO 不可達")</f>
        <v>23071159.2217659</v>
      </c>
      <c r="F120" s="70" t="n">
        <f aca="false">IF(AND(ISNUMBER(F106)),F106*F119,"SLO 不可達")</f>
        <v>147424792.173631</v>
      </c>
      <c r="G120" s="70" t="n">
        <f aca="false">IF(AND(ISNUMBER(G106)),G106*G119,"SLO 不可達")</f>
        <v>12663588.6826011</v>
      </c>
      <c r="H120" s="70" t="n">
        <f aca="false">IF(AND(ISNUMBER(H106)),H106*H119,"SLO 不可達")</f>
        <v>76874647.7221323</v>
      </c>
      <c r="I120" s="70" t="n">
        <f aca="false">IF(AND(ISNUMBER(I106)),I106*I119,"SLO 不可達")</f>
        <v>11414680.2179013</v>
      </c>
      <c r="J120" s="70" t="n">
        <f aca="false">IF(AND(ISNUMBER(J106)),J106*J119,"SLO 不可達")</f>
        <v>68408630.3879524</v>
      </c>
      <c r="K120" s="70" t="n">
        <f aca="false">IF(AND(ISNUMBER(K106)),K106*K119,"SLO 不可達")</f>
        <v>12351787.4256895</v>
      </c>
      <c r="L120" s="70" t="n">
        <f aca="false">IF(AND(ISNUMBER(L106)),L106*L119,"SLO 不可達")</f>
        <v>80819004.6728201</v>
      </c>
      <c r="M120" s="70" t="n">
        <f aca="false">IF(AND(ISNUMBER(M106)),M106*M119,"SLO 不可達")</f>
        <v>21848739.7890551</v>
      </c>
      <c r="N120" s="70" t="n">
        <f aca="false">IF(AND(ISNUMBER(N106)),N106*N119,"SLO 不可達")</f>
        <v>131020651.094153</v>
      </c>
      <c r="O120" s="70" t="n">
        <f aca="false">IF(AND(ISNUMBER(O106)),O106*O119,"SLO 不可達")</f>
        <v>14300056.0456916</v>
      </c>
      <c r="P120" s="70" t="n">
        <f aca="false">IF(AND(ISNUMBER(P106)),P106*P119,"SLO 不可達")</f>
        <v>68417904.735736</v>
      </c>
      <c r="Q120" s="70" t="n">
        <f aca="false">IF(AND(ISNUMBER(Q106)),Q106*Q119,"SLO 不可達")</f>
        <v>22439622.7367257</v>
      </c>
      <c r="R120" s="70" t="n">
        <f aca="false">IF(AND(ISNUMBER(R106)),R106*R119,"SLO 不可達")</f>
        <v>199000685.407346</v>
      </c>
      <c r="S120" s="70" t="n">
        <f aca="false">IF(AND(ISNUMBER(S106)),S106*S119,"SLO 不可達")</f>
        <v>17105309.2054178</v>
      </c>
      <c r="T120" s="70" t="n">
        <f aca="false">IF(AND(ISNUMBER(T106)),T106*T119,"SLO 不可達")</f>
        <v>113610537.370642</v>
      </c>
      <c r="U120" s="70" t="n">
        <f aca="false">IF(AND(ISNUMBER(U106)),U106*U119,"SLO 不可達")</f>
        <v>16234736.3599718</v>
      </c>
      <c r="V120" s="70" t="n">
        <f aca="false">IF(AND(ISNUMBER(V106)),V106*V119,"SLO 不可達")</f>
        <v>99408403.8983218</v>
      </c>
      <c r="W120" s="70" t="n">
        <f aca="false">IF(AND(ISNUMBER(W106)),W106*W119,"SLO 不可達")</f>
        <v>17281374.007037</v>
      </c>
      <c r="X120" s="70" t="n">
        <f aca="false">IF(AND(ISNUMBER(X106)),X106*X119,"SLO 不可達")</f>
        <v>116587884.462805</v>
      </c>
      <c r="Y120" s="70" t="n">
        <f aca="false">IF(AND(ISNUMBER(Y106)),Y106*Y119,"SLO 不可達")</f>
        <v>11695257.9283803</v>
      </c>
      <c r="Z120" s="70" t="n">
        <f aca="false">IF(AND(ISNUMBER(Z106)),Z106*Z119,"SLO 不可達")</f>
        <v>95200115.5021918</v>
      </c>
      <c r="AA120" s="70" t="n">
        <f aca="false">IF(AND(ISNUMBER(AA106)),AA106*AA119,"SLO 不可達")</f>
        <v>25840426.3733406</v>
      </c>
      <c r="AB120" s="70" t="n">
        <f aca="false">IF(AND(ISNUMBER(AB106)),AB106*AB119,"SLO 不可達")</f>
        <v>116417868.169632</v>
      </c>
      <c r="AC120" s="70" t="n">
        <f aca="false">IF(AND(ISNUMBER(AC106)),AC106*AC119,"SLO 不可達")</f>
        <v>9025672.74218523</v>
      </c>
      <c r="AD120" s="70" t="n">
        <f aca="false">IF(AND(ISNUMBER(AD106)),AD106*AD119,"SLO 不可達")</f>
        <v>56249984.8485696</v>
      </c>
      <c r="AE120" s="70" t="n">
        <f aca="false">IF(AND(ISNUMBER(AE106)),AE106*AE119,"SLO 不可達")</f>
        <v>21333408.2997105</v>
      </c>
      <c r="AF120" s="70" t="n">
        <f aca="false">IF(AND(ISNUMBER(AF106)),AF106*AF119,"SLO 不可達")</f>
        <v>132954509.642074</v>
      </c>
      <c r="AG120" s="70" t="n">
        <f aca="false">IF(AND(ISNUMBER(AG106)),AG106*AG119,"SLO 不可達")</f>
        <v>17659222.5414002</v>
      </c>
      <c r="AH120" s="70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0" t="s">
        <v>1101</v>
      </c>
      <c r="B121" s="61" t="s">
        <v>1023</v>
      </c>
      <c r="C121" s="67" t="n">
        <f aca="false">IF(AND(ISNUMBER(C120),ISNUMBER(C106)),C120-C106,"SLO 不可達")</f>
        <v>14359024.8171129</v>
      </c>
      <c r="D121" s="67" t="n">
        <f aca="false">IF(AND(ISNUMBER(D120),ISNUMBER(D106)),D120-D106,"SLO 不可達")</f>
        <v>89488612.259088</v>
      </c>
      <c r="E121" s="67" t="n">
        <f aca="false">IF(AND(ISNUMBER(E120),ISNUMBER(E106)),E120-E106,"SLO 不可達")</f>
        <v>20187264.3190452</v>
      </c>
      <c r="F121" s="67" t="n">
        <f aca="false">IF(AND(ISNUMBER(F120),ISNUMBER(F106)),F120-F106,"SLO 不可達")</f>
        <v>128996693.151927</v>
      </c>
      <c r="G121" s="67" t="n">
        <f aca="false">IF(AND(ISNUMBER(G120),ISNUMBER(G106)),G120-G106,"SLO 不可達")</f>
        <v>11080640.0972759</v>
      </c>
      <c r="H121" s="67" t="n">
        <f aca="false">IF(AND(ISNUMBER(H120),ISNUMBER(H106)),H120-H106,"SLO 不可達")</f>
        <v>67265316.7568657</v>
      </c>
      <c r="I121" s="67" t="n">
        <f aca="false">IF(AND(ISNUMBER(I120),ISNUMBER(I106)),I120-I106,"SLO 不可達")</f>
        <v>9987845.19066364</v>
      </c>
      <c r="J121" s="67" t="n">
        <f aca="false">IF(AND(ISNUMBER(J120),ISNUMBER(J106)),J120-J106,"SLO 不可達")</f>
        <v>59857551.5894584</v>
      </c>
      <c r="K121" s="67" t="n">
        <f aca="false">IF(AND(ISNUMBER(K120),ISNUMBER(K106)),K120-K106,"SLO 不可達")</f>
        <v>10807813.9974783</v>
      </c>
      <c r="L121" s="67" t="n">
        <f aca="false">IF(AND(ISNUMBER(L120),ISNUMBER(L106)),L120-L106,"SLO 不可達")</f>
        <v>70716629.0887176</v>
      </c>
      <c r="M121" s="67" t="n">
        <f aca="false">IF(AND(ISNUMBER(M120),ISNUMBER(M106)),M120-M106,"SLO 不可達")</f>
        <v>19117647.3154232</v>
      </c>
      <c r="N121" s="67" t="n">
        <f aca="false">IF(AND(ISNUMBER(N120),ISNUMBER(N106)),N120-N106,"SLO 不可達")</f>
        <v>114643069.707384</v>
      </c>
      <c r="O121" s="67" t="n">
        <f aca="false">IF(AND(ISNUMBER(O120),ISNUMBER(O106)),O120-O106,"SLO 不可達")</f>
        <v>12512549.0399801</v>
      </c>
      <c r="P121" s="67" t="n">
        <f aca="false">IF(AND(ISNUMBER(P120),ISNUMBER(P106)),P120-P106,"SLO 不可達")</f>
        <v>59865666.643769</v>
      </c>
      <c r="Q121" s="67" t="n">
        <f aca="false">IF(AND(ISNUMBER(Q120),ISNUMBER(Q106)),Q120-Q106,"SLO 不可達")</f>
        <v>19634669.894635</v>
      </c>
      <c r="R121" s="67" t="n">
        <f aca="false">IF(AND(ISNUMBER(R120),ISNUMBER(R106)),R120-R106,"SLO 不可達")</f>
        <v>174125599.731428</v>
      </c>
      <c r="S121" s="67" t="n">
        <f aca="false">IF(AND(ISNUMBER(S120),ISNUMBER(S106)),S120-S106,"SLO 不可達")</f>
        <v>14967145.5547405</v>
      </c>
      <c r="T121" s="67" t="n">
        <f aca="false">IF(AND(ISNUMBER(T120),ISNUMBER(T106)),T120-T106,"SLO 不可達")</f>
        <v>99409220.1993114</v>
      </c>
      <c r="U121" s="67" t="n">
        <f aca="false">IF(AND(ISNUMBER(U120),ISNUMBER(U106)),U120-U106,"SLO 不可達")</f>
        <v>14205394.3149753</v>
      </c>
      <c r="V121" s="67" t="n">
        <f aca="false">IF(AND(ISNUMBER(V120),ISNUMBER(V106)),V120-V106,"SLO 不可達")</f>
        <v>86982353.4110315</v>
      </c>
      <c r="W121" s="67" t="n">
        <f aca="false">IF(AND(ISNUMBER(W120),ISNUMBER(W106)),W120-W106,"SLO 不可達")</f>
        <v>15121202.2561574</v>
      </c>
      <c r="X121" s="67" t="n">
        <f aca="false">IF(AND(ISNUMBER(X120),ISNUMBER(X106)),X120-X106,"SLO 不可達")</f>
        <v>102014398.904954</v>
      </c>
      <c r="Y121" s="67" t="n">
        <f aca="false">IF(AND(ISNUMBER(Y120),ISNUMBER(Y106)),Y120-Y106,"SLO 不可達")</f>
        <v>10233350.6873328</v>
      </c>
      <c r="Z121" s="67" t="n">
        <f aca="false">IF(AND(ISNUMBER(Z120),ISNUMBER(Z106)),Z120-Z106,"SLO 不可達")</f>
        <v>83300101.0644178</v>
      </c>
      <c r="AA121" s="67" t="n">
        <f aca="false">IF(AND(ISNUMBER(AA120),ISNUMBER(AA106)),AA120-AA106,"SLO 不可達")</f>
        <v>22610373.0766731</v>
      </c>
      <c r="AB121" s="67" t="n">
        <f aca="false">IF(AND(ISNUMBER(AB120),ISNUMBER(AB106)),AB120-AB106,"SLO 不可達")</f>
        <v>101865634.648428</v>
      </c>
      <c r="AC121" s="67" t="n">
        <f aca="false">IF(AND(ISNUMBER(AC120),ISNUMBER(AC106)),AC120-AC106,"SLO 不可達")</f>
        <v>6974383.48259768</v>
      </c>
      <c r="AD121" s="67" t="n">
        <f aca="false">IF(AND(ISNUMBER(AD120),ISNUMBER(AD106)),AD120-AD106,"SLO 不可達")</f>
        <v>43465897.3829856</v>
      </c>
      <c r="AE121" s="67" t="n">
        <f aca="false">IF(AND(ISNUMBER(AE120),ISNUMBER(AE106)),AE120-AE106,"SLO 不可達")</f>
        <v>19282119.040123</v>
      </c>
      <c r="AF121" s="67" t="n">
        <f aca="false">IF(AND(ISNUMBER(AF120),ISNUMBER(AF106)),AF120-AF106,"SLO 不可達")</f>
        <v>120170422.17649</v>
      </c>
      <c r="AG121" s="67" t="n">
        <f aca="false">IF(AND(ISNUMBER(AG120),ISNUMBER(AG106)),AG120-AG106,"SLO 不可達")</f>
        <v>15451819.7237252</v>
      </c>
      <c r="AH121" s="67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0" t="s">
        <v>1102</v>
      </c>
      <c r="B122" s="61" t="s">
        <v>877</v>
      </c>
      <c r="C122" s="70" t="n">
        <f aca="false">IF(AND(ISNUMBER(C120)),C120*C19/1000000,"SLO 不可達")</f>
        <v>78.50122859042</v>
      </c>
      <c r="D122" s="70" t="n">
        <f aca="false">IF(AND(ISNUMBER(D120)),D120*D19/1000000,"SLO 不可達")</f>
        <v>489.236984869465</v>
      </c>
      <c r="E122" s="70" t="n">
        <f aca="false">IF(AND(ISNUMBER(E120)),E120*E19/1000000,"SLO 不可達")</f>
        <v>110.364392506373</v>
      </c>
      <c r="F122" s="70" t="n">
        <f aca="false">IF(AND(ISNUMBER(F120)),F120*F19/1000000,"SLO 不可達")</f>
        <v>705.228873513697</v>
      </c>
      <c r="G122" s="70" t="n">
        <f aca="false">IF(AND(ISNUMBER(G120)),G120*G19/1000000,"SLO 不可達")</f>
        <v>60.5781988876964</v>
      </c>
      <c r="H122" s="70" t="n">
        <f aca="false">IF(AND(ISNUMBER(H120)),H120*H19/1000000,"SLO 不可達")</f>
        <v>367.741547507085</v>
      </c>
      <c r="I122" s="70" t="n">
        <f aca="false">IF(AND(ISNUMBER(I120)),I120*I19/1000000,"SLO 不可達")</f>
        <v>54.6038556534553</v>
      </c>
      <c r="J122" s="70" t="n">
        <f aca="false">IF(AND(ISNUMBER(J120)),J120*J19/1000000,"SLO 不可達")</f>
        <v>327.243068386292</v>
      </c>
      <c r="K122" s="70" t="n">
        <f aca="false">IF(AND(ISNUMBER(K120)),K120*K19/1000000,"SLO 不可達")</f>
        <v>59.0866502415709</v>
      </c>
      <c r="L122" s="70" t="n">
        <f aca="false">IF(AND(ISNUMBER(L120)),L120*L19/1000000,"SLO 不可達")</f>
        <v>386.609977762651</v>
      </c>
      <c r="M122" s="70" t="n">
        <f aca="false">IF(AND(ISNUMBER(M120)),M120*M19/1000000,"SLO 不可達")</f>
        <v>104.516763577878</v>
      </c>
      <c r="N122" s="70" t="n">
        <f aca="false">IF(AND(ISNUMBER(N120)),N120*N19/1000000,"SLO 不可達")</f>
        <v>626.757174392596</v>
      </c>
      <c r="O122" s="70" t="n">
        <f aca="false">IF(AND(ISNUMBER(O120)),O120*O19/1000000,"SLO 不可達")</f>
        <v>68.4064889466372</v>
      </c>
      <c r="P122" s="70" t="n">
        <f aca="false">IF(AND(ISNUMBER(P120)),P120*P19/1000000,"SLO 不可達")</f>
        <v>327.287433636828</v>
      </c>
      <c r="Q122" s="70" t="n">
        <f aca="false">IF(AND(ISNUMBER(Q120)),Q120*Q19/1000000,"SLO 不可達")</f>
        <v>107.343341858371</v>
      </c>
      <c r="R122" s="70" t="n">
        <f aca="false">IF(AND(ISNUMBER(R120)),R120*R19/1000000,"SLO 不可達")</f>
        <v>951.949988391287</v>
      </c>
      <c r="S122" s="70" t="n">
        <f aca="false">IF(AND(ISNUMBER(S120)),S120*S19/1000000,"SLO 不可達")</f>
        <v>81.8258432939332</v>
      </c>
      <c r="T122" s="70" t="n">
        <f aca="false">IF(AND(ISNUMBER(T120)),T120*T19/1000000,"SLO 不可達")</f>
        <v>543.473252414827</v>
      </c>
      <c r="U122" s="70" t="n">
        <f aca="false">IF(AND(ISNUMBER(U120)),U120*U19/1000000,"SLO 不可達")</f>
        <v>77.6613259284798</v>
      </c>
      <c r="V122" s="70" t="n">
        <f aca="false">IF(AND(ISNUMBER(V120)),V120*V19/1000000,"SLO 不可達")</f>
        <v>475.535190963269</v>
      </c>
      <c r="W122" s="70" t="n">
        <f aca="false">IF(AND(ISNUMBER(W120)),W120*W19/1000000,"SLO 不可達")</f>
        <v>82.6680760003908</v>
      </c>
      <c r="X122" s="70" t="n">
        <f aca="false">IF(AND(ISNUMBER(X120)),X120*X19/1000000,"SLO 不可達")</f>
        <v>557.715844213041</v>
      </c>
      <c r="Y122" s="70" t="n">
        <f aca="false">IF(AND(ISNUMBER(Y120)),Y120*Y19/1000000,"SLO 不可達")</f>
        <v>55.9460417252601</v>
      </c>
      <c r="Z122" s="70" t="n">
        <f aca="false">IF(AND(ISNUMBER(Z120)),Z120*Z19/1000000,"SLO 不可達")</f>
        <v>455.404204571725</v>
      </c>
      <c r="AA122" s="70" t="n">
        <f aca="false">IF(AND(ISNUMBER(AA120)),AA120*AA19/1000000,"SLO 不可達")</f>
        <v>123.61160232074</v>
      </c>
      <c r="AB122" s="70" t="n">
        <f aca="false">IF(AND(ISNUMBER(AB120)),AB120*AB19/1000000,"SLO 不可達")</f>
        <v>556.902545464945</v>
      </c>
      <c r="AC122" s="70" t="n">
        <f aca="false">IF(AND(ISNUMBER(AC120)),AC120*AC19/1000000,"SLO 不可達")</f>
        <v>43.175675724731</v>
      </c>
      <c r="AD122" s="70" t="n">
        <f aca="false">IF(AND(ISNUMBER(AD120)),AD120*AD19/1000000,"SLO 不可達")</f>
        <v>269.080341678206</v>
      </c>
      <c r="AE122" s="70" t="n">
        <f aca="false">IF(AND(ISNUMBER(AE120)),AE120*AE19/1000000,"SLO 不可達")</f>
        <v>102.051597167546</v>
      </c>
      <c r="AF122" s="70" t="n">
        <f aca="false">IF(AND(ISNUMBER(AF120)),AF120*AF19/1000000,"SLO 不可達")</f>
        <v>636.008080330305</v>
      </c>
      <c r="AG122" s="70" t="n">
        <f aca="false">IF(AND(ISNUMBER(AG120)),AG120*AG19/1000000,"SLO 不可達")</f>
        <v>84.4755718246611</v>
      </c>
      <c r="AH122" s="70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0" t="s">
        <v>1103</v>
      </c>
      <c r="B123" s="61" t="s">
        <v>99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0.00902741436014942</v>
      </c>
      <c r="F123" s="100" t="n">
        <f aca="false">IF(AND(ISNUMBER(F120)),F120/(F18*8760),"SLO 不可達")</f>
        <v>0.0576852109214657</v>
      </c>
      <c r="G123" s="100" t="n">
        <f aca="false">IF(AND(ISNUMBER(G120)),G120/(G18*8760),"SLO 不可達")</f>
        <v>0.00495508098338149</v>
      </c>
      <c r="H123" s="100" t="n">
        <f aca="false">IF(AND(ISNUMBER(H120)),H120/(H18*8760),"SLO 不可達")</f>
        <v>0.0300799492607848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5" t="s">
        <v>1104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</row>
    <row r="125" customFormat="false" ht="15" hidden="false" customHeight="false" outlineLevel="0" collapsed="false">
      <c r="A125" s="60" t="s">
        <v>1105</v>
      </c>
      <c r="B125" s="61" t="s">
        <v>1023</v>
      </c>
      <c r="C125" s="67" t="n">
        <f aca="false">C103</f>
        <v>1046714.22569904</v>
      </c>
      <c r="D125" s="67" t="n">
        <f aca="false">D103</f>
        <v>5684233.89686067</v>
      </c>
      <c r="E125" s="67" t="n">
        <f aca="false">E103</f>
        <v>1744523.70949839</v>
      </c>
      <c r="F125" s="67" t="n">
        <f aca="false">F103</f>
        <v>9473723.16143445</v>
      </c>
      <c r="G125" s="67" t="n">
        <f aca="false">G103</f>
        <v>654196.391061898</v>
      </c>
      <c r="H125" s="67" t="n">
        <f aca="false">H103</f>
        <v>3552646.18553792</v>
      </c>
      <c r="I125" s="67" t="n">
        <f aca="false">I103</f>
        <v>523357.112849518</v>
      </c>
      <c r="J125" s="67" t="n">
        <f aca="false">J103</f>
        <v>2842116.94843034</v>
      </c>
      <c r="K125" s="67" t="n">
        <f aca="false">K103</f>
        <v>539398.39432267</v>
      </c>
      <c r="L125" s="67" t="n">
        <f aca="false">L103</f>
        <v>3002522.01537919</v>
      </c>
      <c r="M125" s="67" t="n">
        <f aca="false">M103</f>
        <v>1726517.43974337</v>
      </c>
      <c r="N125" s="67" t="n">
        <f aca="false">N103</f>
        <v>9277727.81804586</v>
      </c>
      <c r="O125" s="67" t="n">
        <f aca="false">O103</f>
        <v>1046714.22569904</v>
      </c>
      <c r="P125" s="67" t="n">
        <f aca="false">P103</f>
        <v>5684233.89686067</v>
      </c>
      <c r="Q125" s="67" t="n">
        <f aca="false">Q103</f>
        <v>1046714.22569904</v>
      </c>
      <c r="R125" s="67" t="n">
        <f aca="false">R103</f>
        <v>5684233.89686067</v>
      </c>
      <c r="S125" s="67" t="n">
        <f aca="false">S103</f>
        <v>1046714.22569904</v>
      </c>
      <c r="T125" s="67" t="n">
        <f aca="false">T103</f>
        <v>5684233.89686067</v>
      </c>
      <c r="U125" s="67" t="n">
        <f aca="false">U103</f>
        <v>1046714.22569904</v>
      </c>
      <c r="V125" s="67" t="n">
        <f aca="false">V103</f>
        <v>5684233.89686067</v>
      </c>
      <c r="W125" s="67" t="n">
        <f aca="false">W103</f>
        <v>1046714.22569904</v>
      </c>
      <c r="X125" s="67" t="n">
        <f aca="false">X103</f>
        <v>5684233.89686067</v>
      </c>
      <c r="Y125" s="67" t="n">
        <f aca="false">Y103</f>
        <v>1046714.22569904</v>
      </c>
      <c r="Z125" s="67" t="n">
        <f aca="false">Z103</f>
        <v>5684233.89686067</v>
      </c>
      <c r="AA125" s="67" t="n">
        <f aca="false">AA103</f>
        <v>1046714.22569904</v>
      </c>
      <c r="AB125" s="67" t="n">
        <f aca="false">AB103</f>
        <v>5684233.89686067</v>
      </c>
      <c r="AC125" s="67" t="n">
        <f aca="false">AC103</f>
        <v>1046714.22569904</v>
      </c>
      <c r="AD125" s="67" t="n">
        <f aca="false">AD103</f>
        <v>5684233.89686067</v>
      </c>
      <c r="AE125" s="67" t="n">
        <f aca="false">AE103</f>
        <v>1046714.22569904</v>
      </c>
      <c r="AF125" s="67" t="n">
        <f aca="false">AF103</f>
        <v>5684233.89686067</v>
      </c>
      <c r="AG125" s="67" t="n">
        <f aca="false">AG103</f>
        <v>1177553.50391142</v>
      </c>
      <c r="AH125" s="67" t="n">
        <f aca="false">AH103</f>
        <v>6394763.13396825</v>
      </c>
    </row>
    <row r="126" customFormat="false" ht="15" hidden="false" customHeight="false" outlineLevel="0" collapsed="false">
      <c r="A126" s="60" t="s">
        <v>1106</v>
      </c>
      <c r="B126" s="61" t="s">
        <v>1023</v>
      </c>
      <c r="C126" s="67" t="n">
        <f aca="false">IF(AND(ISNUMBER(C65),ISNUMBER(C86)),C65+C74+C86+C87,"SLO 不可達")</f>
        <v>209542.386794135</v>
      </c>
      <c r="D126" s="67" t="n">
        <f aca="false">IF(AND(ISNUMBER(D65),ISNUMBER(D86)),D65+D74+D86+D87,"SLO 不可達")</f>
        <v>3404528.00266708</v>
      </c>
      <c r="E126" s="67" t="n">
        <f aca="false">IF(AND(ISNUMBER(E65),ISNUMBER(E86)),E65+E74+E86+E87,"SLO 不可達")</f>
        <v>209542.386794135</v>
      </c>
      <c r="F126" s="67" t="n">
        <f aca="false">IF(AND(ISNUMBER(F65),ISNUMBER(F86)),F65+F74+F86+F87,"SLO 不可達")</f>
        <v>3404528.00266708</v>
      </c>
      <c r="G126" s="67" t="n">
        <f aca="false">IF(AND(ISNUMBER(G65),ISNUMBER(G86)),G65+G74+G86+G87,"SLO 不可達")</f>
        <v>209542.386794135</v>
      </c>
      <c r="H126" s="67" t="n">
        <f aca="false">IF(AND(ISNUMBER(H65),ISNUMBER(H86)),H65+H74+H86+H87,"SLO 不可達")</f>
        <v>3404528.00266708</v>
      </c>
      <c r="I126" s="67" t="n">
        <f aca="false">IF(AND(ISNUMBER(I65),ISNUMBER(I86)),I65+I74+I86+I87,"SLO 不可達")</f>
        <v>209542.386794135</v>
      </c>
      <c r="J126" s="67" t="n">
        <f aca="false">IF(AND(ISNUMBER(J65),ISNUMBER(J86)),J65+J74+J86+J87,"SLO 不可達")</f>
        <v>3404528.00266708</v>
      </c>
      <c r="K126" s="67" t="n">
        <f aca="false">IF(AND(ISNUMBER(K65),ISNUMBER(K86)),K65+K74+K86+K87,"SLO 不可達")</f>
        <v>209542.386794135</v>
      </c>
      <c r="L126" s="67" t="n">
        <f aca="false">IF(AND(ISNUMBER(L65),ISNUMBER(L86)),L65+L74+L86+L87,"SLO 不可達")</f>
        <v>3404528.00266708</v>
      </c>
      <c r="M126" s="67" t="n">
        <f aca="false">IF(AND(ISNUMBER(M65),ISNUMBER(M86)),M65+M74+M86+M87,"SLO 不可達")</f>
        <v>209542.386794135</v>
      </c>
      <c r="N126" s="67" t="n">
        <f aca="false">IF(AND(ISNUMBER(N65),ISNUMBER(N86)),N65+N74+N86+N87,"SLO 不可達")</f>
        <v>3404528.00266708</v>
      </c>
      <c r="O126" s="67" t="n">
        <f aca="false">IF(AND(ISNUMBER(O65),ISNUMBER(O86)),O65+O74+O86+O87,"SLO 不可達")</f>
        <v>74979.1635871987</v>
      </c>
      <c r="P126" s="67" t="n">
        <f aca="false">IF(AND(ISNUMBER(P65),ISNUMBER(P86)),P65+P74+P86+P87,"SLO 不可達")</f>
        <v>1072119.43971675</v>
      </c>
      <c r="Q126" s="67" t="n">
        <f aca="false">IF(AND(ISNUMBER(Q65),ISNUMBER(Q86)),Q65+Q74+Q86+Q87,"SLO 不可達")</f>
        <v>594008.738813953</v>
      </c>
      <c r="R126" s="67" t="n">
        <f aca="false">IF(AND(ISNUMBER(R65),ISNUMBER(R86)),R65+R74+R86+R87,"SLO 不可達")</f>
        <v>10068552.4682394</v>
      </c>
      <c r="S126" s="67" t="n">
        <f aca="false">IF(AND(ISNUMBER(S65),ISNUMBER(S86)),S65+S74+S86+S87,"SLO 不可達")</f>
        <v>296416.777883803</v>
      </c>
      <c r="T126" s="67" t="n">
        <f aca="false">IF(AND(ISNUMBER(T65),ISNUMBER(T86)),T65+T74+T86+T87,"SLO 不可達")</f>
        <v>4821757.70841329</v>
      </c>
      <c r="U126" s="67" t="n">
        <f aca="false">IF(AND(ISNUMBER(U65),ISNUMBER(U86)),U65+U74+U86+U87,"SLO 不可達")</f>
        <v>187595.172203061</v>
      </c>
      <c r="V126" s="67" t="n">
        <f aca="false">IF(AND(ISNUMBER(V65),ISNUMBER(V86)),V65+V74+V86+V87,"SLO 不可達")</f>
        <v>3046491.0243733</v>
      </c>
      <c r="W126" s="67" t="n">
        <f aca="false">IF(AND(ISNUMBER(W65),ISNUMBER(W86)),W65+W74+W86+W87,"SLO 不可達")</f>
        <v>316651.707962845</v>
      </c>
      <c r="X126" s="67" t="n">
        <f aca="false">IF(AND(ISNUMBER(X65),ISNUMBER(X86)),X65+X74+X86+X87,"SLO 不可達")</f>
        <v>5178571.39923769</v>
      </c>
      <c r="Y126" s="67" t="n">
        <f aca="false">IF(AND(ISNUMBER(Y65),ISNUMBER(Y86)),Y65+Y74+Y86+Y87,"SLO 不可達")</f>
        <v>209542.386794135</v>
      </c>
      <c r="Z126" s="67" t="n">
        <f aca="false">IF(AND(ISNUMBER(Z65),ISNUMBER(Z86)),Z65+Z74+Z86+Z87,"SLO 不可達")</f>
        <v>3404528.00266708</v>
      </c>
      <c r="AA126" s="67" t="n">
        <f aca="false">IF(AND(ISNUMBER(AA65),ISNUMBER(AA86)),AA65+AA74+AA86+AA87,"SLO 不可達")</f>
        <v>209542.386794135</v>
      </c>
      <c r="AB126" s="67" t="n">
        <f aca="false">IF(AND(ISNUMBER(AB65),ISNUMBER(AB86)),AB65+AB74+AB86+AB87,"SLO 不可達")</f>
        <v>3404528.00266708</v>
      </c>
      <c r="AC126" s="67" t="n">
        <f aca="false">IF(AND(ISNUMBER(AC65),ISNUMBER(AC86)),AC65+AC74+AC86+AC87,"SLO 不可達")</f>
        <v>209542.386794135</v>
      </c>
      <c r="AD126" s="67" t="n">
        <f aca="false">IF(AND(ISNUMBER(AD65),ISNUMBER(AD86)),AD65+AD74+AD86+AD87,"SLO 不可達")</f>
        <v>3404528.00266708</v>
      </c>
      <c r="AE126" s="67" t="n">
        <f aca="false">IF(AND(ISNUMBER(AE65),ISNUMBER(AE86)),AE65+AE74+AE86+AE87,"SLO 不可達")</f>
        <v>209542.386794135</v>
      </c>
      <c r="AF126" s="67" t="n">
        <f aca="false">IF(AND(ISNUMBER(AF65),ISNUMBER(AF86)),AF65+AF74+AF86+AF87,"SLO 不可達")</f>
        <v>3404528.00266708</v>
      </c>
      <c r="AG126" s="67" t="n">
        <f aca="false">IF(AND(ISNUMBER(AG65),ISNUMBER(AG86)),AG65+AG74+AG86+AG87,"SLO 不可達")</f>
        <v>209542.386794135</v>
      </c>
      <c r="AH126" s="67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0" t="s">
        <v>1107</v>
      </c>
      <c r="B127" s="61" t="s">
        <v>1023</v>
      </c>
      <c r="C127" s="67" t="n">
        <f aca="false">C51+C72+C89</f>
        <v>202194.239000742</v>
      </c>
      <c r="D127" s="67" t="n">
        <f aca="false">D51+D72+D89</f>
        <v>2781783.43731922</v>
      </c>
      <c r="E127" s="67" t="n">
        <f aca="false">E51+E72+E89</f>
        <v>336990.39833457</v>
      </c>
      <c r="F127" s="67" t="n">
        <f aca="false">F51+F72+F89</f>
        <v>4636305.72886537</v>
      </c>
      <c r="G127" s="67" t="n">
        <f aca="false">G51+G72+G89</f>
        <v>126371.399375464</v>
      </c>
      <c r="H127" s="67" t="n">
        <f aca="false">H51+H72+H89</f>
        <v>1738614.64832451</v>
      </c>
      <c r="I127" s="67" t="n">
        <f aca="false">I51+I72+I89</f>
        <v>101097.119500371</v>
      </c>
      <c r="J127" s="67" t="n">
        <f aca="false">J51+J72+J89</f>
        <v>1390891.71865961</v>
      </c>
      <c r="K127" s="67" t="n">
        <f aca="false">K51+K72+K89</f>
        <v>202194.239000742</v>
      </c>
      <c r="L127" s="67" t="n">
        <f aca="false">L51+L72+L89</f>
        <v>2781783.43731922</v>
      </c>
      <c r="M127" s="67" t="n">
        <f aca="false">M51+M72+M89</f>
        <v>202194.239000742</v>
      </c>
      <c r="N127" s="67" t="n">
        <f aca="false">N51+N72+N89</f>
        <v>2781783.43731922</v>
      </c>
      <c r="O127" s="67" t="n">
        <f aca="false">O51+O72+O89</f>
        <v>72975.2083315734</v>
      </c>
      <c r="P127" s="67" t="n">
        <f aca="false">P51+P72+P89</f>
        <v>882342.626652557</v>
      </c>
      <c r="Q127" s="67" t="n">
        <f aca="false">Q51+Q72+Q89</f>
        <v>571391.469484081</v>
      </c>
      <c r="R127" s="67" t="n">
        <f aca="false">R51+R72+R89</f>
        <v>8208757.18208113</v>
      </c>
      <c r="S127" s="67" t="n">
        <f aca="false">S51+S72+S89</f>
        <v>202194.239000742</v>
      </c>
      <c r="T127" s="67" t="n">
        <f aca="false">T51+T72+T89</f>
        <v>2781783.43731922</v>
      </c>
      <c r="U127" s="67" t="n">
        <f aca="false">U51+U72+U89</f>
        <v>202194.239000742</v>
      </c>
      <c r="V127" s="67" t="n">
        <f aca="false">V51+V72+V89</f>
        <v>2781783.43731922</v>
      </c>
      <c r="W127" s="67" t="n">
        <f aca="false">W51+W72+W89</f>
        <v>202194.239000742</v>
      </c>
      <c r="X127" s="67" t="n">
        <f aca="false">X51+X72+X89</f>
        <v>2781783.43731922</v>
      </c>
      <c r="Y127" s="67" t="n">
        <f aca="false">Y51+Y72+Y89</f>
        <v>202194.239000742</v>
      </c>
      <c r="Z127" s="67" t="n">
        <f aca="false">Z51+Z72+Z89</f>
        <v>2781783.43731922</v>
      </c>
      <c r="AA127" s="67" t="n">
        <f aca="false">AA51+AA72+AA89</f>
        <v>202194.239000742</v>
      </c>
      <c r="AB127" s="67" t="n">
        <f aca="false">AB51+AB72+AB89</f>
        <v>2781783.43731922</v>
      </c>
      <c r="AC127" s="67" t="n">
        <f aca="false">AC51+AC72+AC89</f>
        <v>202194.239000742</v>
      </c>
      <c r="AD127" s="67" t="n">
        <f aca="false">AD51+AD72+AD89</f>
        <v>2781783.43731922</v>
      </c>
      <c r="AE127" s="67" t="n">
        <f aca="false">AE51+AE72+AE89</f>
        <v>202194.239000742</v>
      </c>
      <c r="AF127" s="67" t="n">
        <f aca="false">AF51+AF72+AF89</f>
        <v>2781783.43731922</v>
      </c>
      <c r="AG127" s="67" t="n">
        <f aca="false">AG51+AG72+AG89</f>
        <v>227468.518875835</v>
      </c>
      <c r="AH127" s="67" t="n">
        <f aca="false">AH51+AH72+AH89</f>
        <v>3129506.36698413</v>
      </c>
    </row>
    <row r="128" customFormat="false" ht="15" hidden="false" customHeight="false" outlineLevel="0" collapsed="false">
      <c r="A128" s="60" t="s">
        <v>1108</v>
      </c>
      <c r="B128" s="61" t="s">
        <v>1023</v>
      </c>
      <c r="C128" s="67" t="n">
        <f aca="false">IF(AND(ISNUMBER(C105)),C105,"SLO 不可達")</f>
        <v>592838.408093639</v>
      </c>
      <c r="D128" s="67" t="n">
        <f aca="false">IF(AND(ISNUMBER(D105)),D105,"SLO 不可達")</f>
        <v>913542.128737021</v>
      </c>
      <c r="E128" s="67" t="n">
        <f aca="false">IF(AND(ISNUMBER(E105)),E105,"SLO 不可達")</f>
        <v>592838.408093639</v>
      </c>
      <c r="F128" s="67" t="n">
        <f aca="false">IF(AND(ISNUMBER(F105)),F105,"SLO 不可達")</f>
        <v>913542.128737021</v>
      </c>
      <c r="G128" s="67" t="n">
        <f aca="false">IF(AND(ISNUMBER(G105)),G105,"SLO 不可達")</f>
        <v>592838.408093639</v>
      </c>
      <c r="H128" s="67" t="n">
        <f aca="false">IF(AND(ISNUMBER(H105)),H105,"SLO 不可達")</f>
        <v>913542.128737021</v>
      </c>
      <c r="I128" s="67" t="n">
        <f aca="false">IF(AND(ISNUMBER(I105)),I105,"SLO 不可達")</f>
        <v>592838.408093639</v>
      </c>
      <c r="J128" s="67" t="n">
        <f aca="false">IF(AND(ISNUMBER(J105)),J105,"SLO 不可達")</f>
        <v>913542.128737021</v>
      </c>
      <c r="K128" s="67" t="n">
        <f aca="false">IF(AND(ISNUMBER(K105)),K105,"SLO 不可達")</f>
        <v>592838.408093639</v>
      </c>
      <c r="L128" s="67" t="n">
        <f aca="false">IF(AND(ISNUMBER(L105)),L105,"SLO 不可達")</f>
        <v>913542.128737021</v>
      </c>
      <c r="M128" s="67" t="n">
        <f aca="false">IF(AND(ISNUMBER(M105)),M105,"SLO 不可達")</f>
        <v>592838.408093639</v>
      </c>
      <c r="N128" s="67" t="n">
        <f aca="false">IF(AND(ISNUMBER(N105)),N105,"SLO 不可達")</f>
        <v>913542.128737021</v>
      </c>
      <c r="O128" s="67" t="n">
        <f aca="false">IF(AND(ISNUMBER(O105)),O105,"SLO 不可達")</f>
        <v>592838.408093639</v>
      </c>
      <c r="P128" s="67" t="n">
        <f aca="false">IF(AND(ISNUMBER(P105)),P105,"SLO 不可達")</f>
        <v>913542.128737021</v>
      </c>
      <c r="Q128" s="67" t="n">
        <f aca="false">IF(AND(ISNUMBER(Q105)),Q105,"SLO 不可達")</f>
        <v>592838.408093639</v>
      </c>
      <c r="R128" s="67" t="n">
        <f aca="false">IF(AND(ISNUMBER(R105)),R105,"SLO 不可達")</f>
        <v>913542.128737021</v>
      </c>
      <c r="S128" s="67" t="n">
        <f aca="false">IF(AND(ISNUMBER(S105)),S105,"SLO 不可達")</f>
        <v>592838.408093639</v>
      </c>
      <c r="T128" s="67" t="n">
        <f aca="false">IF(AND(ISNUMBER(T105)),T105,"SLO 不可達")</f>
        <v>913542.128737021</v>
      </c>
      <c r="U128" s="67" t="n">
        <f aca="false">IF(AND(ISNUMBER(U105)),U105,"SLO 不可達")</f>
        <v>592838.408093639</v>
      </c>
      <c r="V128" s="67" t="n">
        <f aca="false">IF(AND(ISNUMBER(V105)),V105,"SLO 不可達")</f>
        <v>913542.128737021</v>
      </c>
      <c r="W128" s="67" t="n">
        <f aca="false">IF(AND(ISNUMBER(W105)),W105,"SLO 不可達")</f>
        <v>594611.578217</v>
      </c>
      <c r="X128" s="67" t="n">
        <f aca="false">IF(AND(ISNUMBER(X105)),X105,"SLO 不可達")</f>
        <v>928896.82443303</v>
      </c>
      <c r="Y128" s="67" t="n">
        <f aca="false">IF(AND(ISNUMBER(Y105)),Y105,"SLO 不可達")</f>
        <v>3456.38955362504</v>
      </c>
      <c r="Z128" s="67" t="n">
        <f aca="false">IF(AND(ISNUMBER(Z105)),Z105,"SLO 不可達")</f>
        <v>29469.1009270007</v>
      </c>
      <c r="AA128" s="67" t="n">
        <f aca="false">IF(AND(ISNUMBER(AA105)),AA105,"SLO 不可達")</f>
        <v>1771602.44517367</v>
      </c>
      <c r="AB128" s="67" t="n">
        <f aca="false">IF(AND(ISNUMBER(AB105)),AB105,"SLO 不可達")</f>
        <v>2681688.18435706</v>
      </c>
      <c r="AC128" s="67" t="n">
        <f aca="false">IF(AND(ISNUMBER(AC105)),AC105,"SLO 不可達")</f>
        <v>592838.408093639</v>
      </c>
      <c r="AD128" s="67" t="n">
        <f aca="false">IF(AND(ISNUMBER(AD105)),AD105,"SLO 不可達")</f>
        <v>913542.128737021</v>
      </c>
      <c r="AE128" s="67" t="n">
        <f aca="false">IF(AND(ISNUMBER(AE105)),AE105,"SLO 不可達")</f>
        <v>592838.408093639</v>
      </c>
      <c r="AF128" s="67" t="n">
        <f aca="false">IF(AND(ISNUMBER(AF105)),AF105,"SLO 不可達")</f>
        <v>913542.128737021</v>
      </c>
      <c r="AG128" s="67" t="n">
        <f aca="false">IF(AND(ISNUMBER(AG105)),AG105,"SLO 不可達")</f>
        <v>592838.408093639</v>
      </c>
      <c r="AH128" s="67" t="n">
        <f aca="false">IF(AND(ISNUMBER(AH105)),AH105,"SLO 不可達")</f>
        <v>913542.128737021</v>
      </c>
    </row>
    <row r="129" customFormat="false" ht="15" hidden="false" customHeight="false" outlineLevel="0" collapsed="false">
      <c r="A129" s="60" t="s">
        <v>1109</v>
      </c>
      <c r="B129" s="61" t="s">
        <v>1023</v>
      </c>
      <c r="C129" s="67" t="n">
        <f aca="false">IF(AND(ISNUMBER(C121)),C121,"SLO 不可達")</f>
        <v>14359024.8171129</v>
      </c>
      <c r="D129" s="67" t="n">
        <f aca="false">IF(AND(ISNUMBER(D121)),D121,"SLO 不可達")</f>
        <v>89488612.259088</v>
      </c>
      <c r="E129" s="67" t="n">
        <f aca="false">IF(AND(ISNUMBER(E121)),E121,"SLO 不可達")</f>
        <v>20187264.3190452</v>
      </c>
      <c r="F129" s="67" t="n">
        <f aca="false">IF(AND(ISNUMBER(F121)),F121,"SLO 不可達")</f>
        <v>128996693.151927</v>
      </c>
      <c r="G129" s="67" t="n">
        <f aca="false">IF(AND(ISNUMBER(G121)),G121,"SLO 不可達")</f>
        <v>11080640.0972759</v>
      </c>
      <c r="H129" s="67" t="n">
        <f aca="false">IF(AND(ISNUMBER(H121)),H121,"SLO 不可達")</f>
        <v>67265316.7568657</v>
      </c>
      <c r="I129" s="67" t="n">
        <f aca="false">IF(AND(ISNUMBER(I121)),I121,"SLO 不可達")</f>
        <v>9987845.19066364</v>
      </c>
      <c r="J129" s="67" t="n">
        <f aca="false">IF(AND(ISNUMBER(J121)),J121,"SLO 不可達")</f>
        <v>59857551.5894584</v>
      </c>
      <c r="K129" s="67" t="n">
        <f aca="false">IF(AND(ISNUMBER(K121)),K121,"SLO 不可達")</f>
        <v>10807813.9974783</v>
      </c>
      <c r="L129" s="67" t="n">
        <f aca="false">IF(AND(ISNUMBER(L121)),L121,"SLO 不可達")</f>
        <v>70716629.0887176</v>
      </c>
      <c r="M129" s="67" t="n">
        <f aca="false">IF(AND(ISNUMBER(M121)),M121,"SLO 不可達")</f>
        <v>19117647.3154232</v>
      </c>
      <c r="N129" s="67" t="n">
        <f aca="false">IF(AND(ISNUMBER(N121)),N121,"SLO 不可達")</f>
        <v>114643069.707384</v>
      </c>
      <c r="O129" s="67" t="n">
        <f aca="false">IF(AND(ISNUMBER(O121)),O121,"SLO 不可達")</f>
        <v>12512549.0399801</v>
      </c>
      <c r="P129" s="67" t="n">
        <f aca="false">IF(AND(ISNUMBER(P121)),P121,"SLO 不可達")</f>
        <v>59865666.643769</v>
      </c>
      <c r="Q129" s="67" t="n">
        <f aca="false">IF(AND(ISNUMBER(Q121)),Q121,"SLO 不可達")</f>
        <v>19634669.894635</v>
      </c>
      <c r="R129" s="67" t="n">
        <f aca="false">IF(AND(ISNUMBER(R121)),R121,"SLO 不可達")</f>
        <v>174125599.731428</v>
      </c>
      <c r="S129" s="67" t="n">
        <f aca="false">IF(AND(ISNUMBER(S121)),S121,"SLO 不可達")</f>
        <v>14967145.5547405</v>
      </c>
      <c r="T129" s="67" t="n">
        <f aca="false">IF(AND(ISNUMBER(T121)),T121,"SLO 不可達")</f>
        <v>99409220.1993114</v>
      </c>
      <c r="U129" s="67" t="n">
        <f aca="false">IF(AND(ISNUMBER(U121)),U121,"SLO 不可達")</f>
        <v>14205394.3149753</v>
      </c>
      <c r="V129" s="67" t="n">
        <f aca="false">IF(AND(ISNUMBER(V121)),V121,"SLO 不可達")</f>
        <v>86982353.4110315</v>
      </c>
      <c r="W129" s="67" t="n">
        <f aca="false">IF(AND(ISNUMBER(W121)),W121,"SLO 不可達")</f>
        <v>15121202.2561574</v>
      </c>
      <c r="X129" s="67" t="n">
        <f aca="false">IF(AND(ISNUMBER(X121)),X121,"SLO 不可達")</f>
        <v>102014398.904954</v>
      </c>
      <c r="Y129" s="67" t="n">
        <f aca="false">IF(AND(ISNUMBER(Y121)),Y121,"SLO 不可達")</f>
        <v>10233350.6873328</v>
      </c>
      <c r="Z129" s="67" t="n">
        <f aca="false">IF(AND(ISNUMBER(Z121)),Z121,"SLO 不可達")</f>
        <v>83300101.0644178</v>
      </c>
      <c r="AA129" s="67" t="n">
        <f aca="false">IF(AND(ISNUMBER(AA121)),AA121,"SLO 不可達")</f>
        <v>22610373.0766731</v>
      </c>
      <c r="AB129" s="67" t="n">
        <f aca="false">IF(AND(ISNUMBER(AB121)),AB121,"SLO 不可達")</f>
        <v>101865634.648428</v>
      </c>
      <c r="AC129" s="67" t="n">
        <f aca="false">IF(AND(ISNUMBER(AC121)),AC121,"SLO 不可達")</f>
        <v>6974383.48259768</v>
      </c>
      <c r="AD129" s="67" t="n">
        <f aca="false">IF(AND(ISNUMBER(AD121)),AD121,"SLO 不可達")</f>
        <v>43465897.3829856</v>
      </c>
      <c r="AE129" s="67" t="n">
        <f aca="false">IF(AND(ISNUMBER(AE121)),AE121,"SLO 不可達")</f>
        <v>19282119.040123</v>
      </c>
      <c r="AF129" s="67" t="n">
        <f aca="false">IF(AND(ISNUMBER(AF121)),AF121,"SLO 不可達")</f>
        <v>120170422.17649</v>
      </c>
      <c r="AG129" s="67" t="n">
        <f aca="false">IF(AND(ISNUMBER(AG121)),AG121,"SLO 不可達")</f>
        <v>15451819.7237252</v>
      </c>
      <c r="AH129" s="67" t="n">
        <f aca="false">IF(AND(ISNUMBER(AH121)),AH121,"SLO 不可達")</f>
        <v>96896377.4264954</v>
      </c>
    </row>
    <row r="130" customFormat="false" ht="15" hidden="false" customHeight="false" outlineLevel="0" collapsed="false">
      <c r="A130" s="75" t="s">
        <v>1133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</row>
    <row r="131" customFormat="false" ht="15" hidden="false" customHeight="false" outlineLevel="0" collapsed="false">
      <c r="A131" s="60" t="s">
        <v>1134</v>
      </c>
      <c r="B131" s="61" t="s">
        <v>103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1.40589382469667</v>
      </c>
      <c r="F131" s="104" t="n">
        <f aca="false">IF(AND(ISNUMBER(F106),ISNUMBER($D$106)),F106/$D$106,"SLO 不可達")</f>
        <v>1.44148724508606</v>
      </c>
      <c r="G131" s="104" t="n">
        <f aca="false">IF(AND(ISNUMBER(G106),ISNUMBER($C$106)),G106/$C$106,"SLO 不可達")</f>
        <v>0.771684723608125</v>
      </c>
      <c r="H131" s="104" t="n">
        <f aca="false">IF(AND(ISNUMBER(H106),ISNUMBER($D$106)),H106/$D$106,"SLO 不可達")</f>
        <v>0.75166342463909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0" t="s">
        <v>1135</v>
      </c>
      <c r="B132" s="61" t="s">
        <v>103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1.40589382469667</v>
      </c>
      <c r="F132" s="104" t="n">
        <f aca="false">IF(AND(ISNUMBER(F120),ISNUMBER($D$120)),F120/$D$120,"SLO 不可達")</f>
        <v>1.44148724508606</v>
      </c>
      <c r="G132" s="104" t="n">
        <f aca="false">IF(AND(ISNUMBER(G120),ISNUMBER($C$120)),G120/$C$120,"SLO 不可達")</f>
        <v>0.771684723608125</v>
      </c>
      <c r="H132" s="104" t="n">
        <f aca="false">IF(AND(ISNUMBER(H120),ISNUMBER($D$120)),H120/$D$120,"SLO 不可達")</f>
        <v>0.75166342463909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0" t="s">
        <v>1136</v>
      </c>
      <c r="B133" s="61" t="s">
        <v>103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0.844992234997107</v>
      </c>
      <c r="F133" s="104" t="n">
        <f aca="false">IF(AND(ISNUMBER(F111),ISNUMBER($D$111)),F111/$D$111,"SLO 不可達")</f>
        <v>0.880928820082332</v>
      </c>
      <c r="G133" s="104" t="n">
        <f aca="false">IF(AND(ISNUMBER(G111),ISNUMBER($C$111)),G111/$C$111,"SLO 不可達")</f>
        <v>1.20175683436846</v>
      </c>
      <c r="H133" s="104" t="n">
        <f aca="false">IF(AND(ISNUMBER(H111),ISNUMBER($D$111)),H111/$D$111,"SLO 不可達")</f>
        <v>1.13490229974867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7" t="s">
        <v>1137</v>
      </c>
    </row>
    <row r="2" customFormat="false" ht="15" hidden="false" customHeight="false" outlineLevel="0" collapsed="false">
      <c r="A2" s="58" t="s">
        <v>1138</v>
      </c>
    </row>
    <row r="4" customFormat="false" ht="15" hidden="false" customHeight="false" outlineLevel="0" collapsed="false">
      <c r="A4" s="75" t="s">
        <v>1139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59" t="s">
        <v>370</v>
      </c>
      <c r="B5" s="59" t="s">
        <v>83</v>
      </c>
      <c r="C5" s="59" t="s">
        <v>1140</v>
      </c>
      <c r="D5" s="10" t="s">
        <v>1141</v>
      </c>
      <c r="E5" s="10" t="s">
        <v>1142</v>
      </c>
      <c r="F5" s="59" t="s">
        <v>87</v>
      </c>
      <c r="G5" s="59" t="s">
        <v>338</v>
      </c>
    </row>
    <row r="6" customFormat="false" ht="15" hidden="false" customHeight="false" outlineLevel="0" collapsed="false">
      <c r="A6" s="60" t="s">
        <v>1143</v>
      </c>
      <c r="B6" s="61" t="s">
        <v>807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8" t="s">
        <v>135</v>
      </c>
      <c r="G6" s="87" t="s">
        <v>1144</v>
      </c>
    </row>
    <row r="7" customFormat="false" ht="15" hidden="false" customHeight="false" outlineLevel="0" collapsed="false">
      <c r="A7" s="60" t="s">
        <v>1145</v>
      </c>
      <c r="B7" s="61" t="s">
        <v>807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8" t="s">
        <v>135</v>
      </c>
      <c r="G7" s="93" t="s">
        <v>1146</v>
      </c>
    </row>
    <row r="8" customFormat="false" ht="15" hidden="false" customHeight="false" outlineLevel="0" collapsed="false">
      <c r="A8" s="60" t="s">
        <v>1147</v>
      </c>
      <c r="B8" s="61" t="s">
        <v>807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8" t="s">
        <v>135</v>
      </c>
      <c r="G8" s="93" t="s">
        <v>1148</v>
      </c>
    </row>
    <row r="10" customFormat="false" ht="15" hidden="false" customHeight="false" outlineLevel="0" collapsed="false">
      <c r="A10" s="75" t="s">
        <v>1149</v>
      </c>
      <c r="B10" s="69"/>
      <c r="C10" s="69"/>
      <c r="D10" s="69"/>
      <c r="E10" s="69"/>
      <c r="F10" s="69"/>
      <c r="G10" s="69"/>
    </row>
    <row r="11" customFormat="false" ht="15" hidden="false" customHeight="false" outlineLevel="0" collapsed="false">
      <c r="A11" s="59" t="s">
        <v>370</v>
      </c>
      <c r="B11" s="59" t="s">
        <v>83</v>
      </c>
      <c r="C11" s="59" t="s">
        <v>85</v>
      </c>
      <c r="D11" s="59" t="s">
        <v>1150</v>
      </c>
      <c r="E11" s="59" t="s">
        <v>1151</v>
      </c>
      <c r="F11" s="59" t="s">
        <v>87</v>
      </c>
      <c r="G11" s="59" t="s">
        <v>338</v>
      </c>
    </row>
    <row r="12" customFormat="false" ht="15" hidden="false" customHeight="false" outlineLevel="0" collapsed="false">
      <c r="A12" s="5" t="s">
        <v>1152</v>
      </c>
      <c r="B12" s="61" t="s">
        <v>99</v>
      </c>
      <c r="C12" s="65" t="n">
        <v>0.2</v>
      </c>
      <c r="D12" s="65" t="n">
        <v>0.1</v>
      </c>
      <c r="E12" s="65" t="n">
        <v>0.4</v>
      </c>
      <c r="F12" s="58" t="s">
        <v>100</v>
      </c>
      <c r="G12" s="93" t="s">
        <v>1153</v>
      </c>
    </row>
    <row r="13" customFormat="false" ht="15" hidden="false" customHeight="false" outlineLevel="0" collapsed="false">
      <c r="A13" s="5" t="s">
        <v>1154</v>
      </c>
      <c r="B13" s="61" t="s">
        <v>99</v>
      </c>
      <c r="C13" s="65" t="n">
        <v>0.55</v>
      </c>
      <c r="D13" s="65" t="n">
        <v>0.3</v>
      </c>
      <c r="E13" s="65" t="n">
        <v>0.75</v>
      </c>
      <c r="F13" s="58" t="s">
        <v>100</v>
      </c>
      <c r="G13" s="93" t="s">
        <v>1155</v>
      </c>
    </row>
    <row r="14" customFormat="false" ht="26.85" hidden="false" customHeight="false" outlineLevel="0" collapsed="false">
      <c r="A14" s="5" t="s">
        <v>1156</v>
      </c>
      <c r="B14" s="61" t="s">
        <v>103</v>
      </c>
      <c r="C14" s="78" t="n">
        <v>0</v>
      </c>
      <c r="D14" s="78" t="n">
        <v>0</v>
      </c>
      <c r="E14" s="78" t="n">
        <v>0.5</v>
      </c>
      <c r="F14" s="58" t="s">
        <v>100</v>
      </c>
      <c r="G14" s="87" t="s">
        <v>1157</v>
      </c>
    </row>
    <row r="15" customFormat="false" ht="15" hidden="false" customHeight="false" outlineLevel="0" collapsed="false">
      <c r="A15" s="5" t="s">
        <v>1158</v>
      </c>
      <c r="B15" s="61" t="s">
        <v>103</v>
      </c>
      <c r="C15" s="78" t="n">
        <v>1</v>
      </c>
      <c r="D15" s="78" t="n">
        <v>0.5</v>
      </c>
      <c r="E15" s="78" t="n">
        <v>7</v>
      </c>
      <c r="F15" s="58" t="s">
        <v>100</v>
      </c>
      <c r="G15" s="93" t="s">
        <v>1159</v>
      </c>
    </row>
    <row r="16" customFormat="false" ht="15" hidden="false" customHeight="false" outlineLevel="0" collapsed="false">
      <c r="A16" s="5" t="s">
        <v>1160</v>
      </c>
      <c r="B16" s="60" t="s">
        <v>95</v>
      </c>
      <c r="C16" s="66" t="n">
        <v>2</v>
      </c>
      <c r="D16" s="66" t="n">
        <v>1</v>
      </c>
      <c r="E16" s="66" t="n">
        <v>2</v>
      </c>
      <c r="F16" s="58" t="s">
        <v>92</v>
      </c>
      <c r="G16" s="87" t="s">
        <v>1161</v>
      </c>
    </row>
    <row r="17" customFormat="false" ht="15" hidden="false" customHeight="false" outlineLevel="0" collapsed="false">
      <c r="A17" s="5" t="s">
        <v>1162</v>
      </c>
      <c r="B17" s="61" t="s">
        <v>1163</v>
      </c>
      <c r="C17" s="89" t="n">
        <f aca="false">SRC_PRC_028</f>
        <v>35</v>
      </c>
      <c r="F17" s="58" t="s">
        <v>135</v>
      </c>
      <c r="G17" s="87" t="s">
        <v>1164</v>
      </c>
    </row>
    <row r="18" customFormat="false" ht="15" hidden="false" customHeight="false" outlineLevel="0" collapsed="false">
      <c r="A18" s="5" t="s">
        <v>1165</v>
      </c>
      <c r="B18" s="61" t="s">
        <v>103</v>
      </c>
      <c r="C18" s="97" t="n">
        <f aca="false">SRC_PRC_027</f>
        <v>0.5</v>
      </c>
      <c r="F18" s="58" t="s">
        <v>135</v>
      </c>
      <c r="G18" s="87" t="s">
        <v>1166</v>
      </c>
    </row>
    <row r="20" customFormat="false" ht="15" hidden="false" customHeight="false" outlineLevel="0" collapsed="false">
      <c r="A20" s="75" t="s">
        <v>1167</v>
      </c>
      <c r="B20" s="69"/>
      <c r="C20" s="69"/>
      <c r="D20" s="69"/>
      <c r="E20" s="69"/>
      <c r="F20" s="69"/>
      <c r="G20" s="69"/>
    </row>
    <row r="21" customFormat="false" ht="15" hidden="false" customHeight="false" outlineLevel="0" collapsed="false">
      <c r="A21" s="59" t="s">
        <v>370</v>
      </c>
      <c r="B21" s="59" t="s">
        <v>83</v>
      </c>
      <c r="C21" s="59" t="s">
        <v>1140</v>
      </c>
      <c r="D21" s="10" t="s">
        <v>1141</v>
      </c>
      <c r="E21" s="10" t="s">
        <v>1142</v>
      </c>
      <c r="F21" s="59" t="s">
        <v>87</v>
      </c>
      <c r="G21" s="59" t="s">
        <v>338</v>
      </c>
    </row>
    <row r="22" customFormat="false" ht="15" hidden="false" customHeight="false" outlineLevel="0" collapsed="false">
      <c r="A22" s="60" t="s">
        <v>1168</v>
      </c>
      <c r="B22" s="60" t="s">
        <v>1169</v>
      </c>
      <c r="C22" s="66" t="n">
        <v>12</v>
      </c>
      <c r="D22" s="66" t="n">
        <v>12</v>
      </c>
      <c r="E22" s="66" t="n">
        <v>9</v>
      </c>
      <c r="F22" s="58" t="s">
        <v>100</v>
      </c>
      <c r="G22" s="73" t="s">
        <v>1170</v>
      </c>
    </row>
    <row r="23" customFormat="false" ht="15" hidden="false" customHeight="false" outlineLevel="0" collapsed="false">
      <c r="A23" s="60" t="s">
        <v>1171</v>
      </c>
      <c r="B23" s="60" t="s">
        <v>1169</v>
      </c>
      <c r="C23" s="66" t="n">
        <v>6</v>
      </c>
      <c r="D23" s="66" t="n">
        <v>6</v>
      </c>
      <c r="E23" s="66" t="n">
        <v>6</v>
      </c>
      <c r="F23" s="58" t="s">
        <v>100</v>
      </c>
      <c r="G23" s="73"/>
    </row>
    <row r="24" customFormat="false" ht="15" hidden="false" customHeight="false" outlineLevel="0" collapsed="false">
      <c r="A24" s="60" t="s">
        <v>1172</v>
      </c>
      <c r="B24" s="60" t="s">
        <v>1169</v>
      </c>
      <c r="C24" s="66" t="n">
        <v>24</v>
      </c>
      <c r="D24" s="66" t="n">
        <v>24</v>
      </c>
      <c r="E24" s="66" t="n">
        <v>18</v>
      </c>
      <c r="F24" s="58" t="s">
        <v>100</v>
      </c>
      <c r="G24" s="73"/>
    </row>
    <row r="26" customFormat="false" ht="15" hidden="false" customHeight="false" outlineLevel="0" collapsed="false">
      <c r="A26" s="75" t="s">
        <v>1173</v>
      </c>
      <c r="B26" s="69"/>
      <c r="C26" s="69"/>
      <c r="D26" s="69"/>
      <c r="E26" s="69"/>
      <c r="F26" s="69"/>
      <c r="G26" s="69"/>
    </row>
    <row r="27" customFormat="false" ht="15" hidden="false" customHeight="false" outlineLevel="0" collapsed="false">
      <c r="A27" s="59" t="s">
        <v>370</v>
      </c>
      <c r="B27" s="59" t="s">
        <v>83</v>
      </c>
      <c r="C27" s="59" t="s">
        <v>85</v>
      </c>
      <c r="D27" s="59" t="s">
        <v>1150</v>
      </c>
      <c r="E27" s="59" t="s">
        <v>1151</v>
      </c>
      <c r="F27" s="59" t="s">
        <v>87</v>
      </c>
      <c r="G27" s="59" t="s">
        <v>338</v>
      </c>
    </row>
    <row r="28" customFormat="false" ht="26.85" hidden="false" customHeight="false" outlineLevel="0" collapsed="false">
      <c r="A28" s="60" t="s">
        <v>1174</v>
      </c>
      <c r="B28" s="61" t="s">
        <v>99</v>
      </c>
      <c r="C28" s="65" t="n">
        <v>0.41</v>
      </c>
      <c r="D28" s="65" t="n">
        <v>0.3</v>
      </c>
      <c r="E28" s="65" t="n">
        <v>0.6</v>
      </c>
      <c r="F28" s="58" t="s">
        <v>1175</v>
      </c>
      <c r="G28" s="87" t="s">
        <v>1176</v>
      </c>
    </row>
    <row r="29" customFormat="false" ht="15" hidden="false" customHeight="false" outlineLevel="0" collapsed="false">
      <c r="A29" s="60" t="s">
        <v>1177</v>
      </c>
      <c r="B29" s="61" t="s">
        <v>99</v>
      </c>
      <c r="C29" s="65" t="n">
        <v>0.46</v>
      </c>
      <c r="D29" s="65" t="n">
        <v>0.35</v>
      </c>
      <c r="E29" s="65" t="n">
        <v>0.6</v>
      </c>
      <c r="F29" s="58" t="s">
        <v>212</v>
      </c>
      <c r="G29" s="87" t="s">
        <v>1178</v>
      </c>
    </row>
    <row r="30" customFormat="false" ht="15" hidden="false" customHeight="false" outlineLevel="0" collapsed="false">
      <c r="A30" s="59" t="s">
        <v>370</v>
      </c>
      <c r="B30" s="59" t="s">
        <v>83</v>
      </c>
      <c r="C30" s="59" t="s">
        <v>1140</v>
      </c>
      <c r="D30" s="10" t="s">
        <v>1141</v>
      </c>
      <c r="E30" s="10" t="s">
        <v>1142</v>
      </c>
      <c r="F30" s="59" t="s">
        <v>87</v>
      </c>
      <c r="G30" s="59" t="s">
        <v>338</v>
      </c>
    </row>
    <row r="31" customFormat="false" ht="15" hidden="false" customHeight="false" outlineLevel="0" collapsed="false">
      <c r="A31" s="60" t="s">
        <v>1179</v>
      </c>
      <c r="B31" s="61" t="s">
        <v>99</v>
      </c>
      <c r="C31" s="65" t="n">
        <v>0.4</v>
      </c>
      <c r="D31" s="65" t="n">
        <v>0.45</v>
      </c>
      <c r="E31" s="65" t="n">
        <v>0.15</v>
      </c>
      <c r="F31" s="58" t="s">
        <v>100</v>
      </c>
      <c r="G31" s="87" t="s">
        <v>1180</v>
      </c>
    </row>
    <row r="32" customFormat="false" ht="15" hidden="false" customHeight="false" outlineLevel="0" collapsed="false">
      <c r="A32" s="60" t="s">
        <v>1181</v>
      </c>
      <c r="B32" s="61" t="s">
        <v>99</v>
      </c>
      <c r="C32" s="65" t="n">
        <v>0.9</v>
      </c>
      <c r="D32" s="65" t="n">
        <v>0.1</v>
      </c>
      <c r="E32" s="65" t="n">
        <v>0</v>
      </c>
      <c r="F32" s="58" t="s">
        <v>100</v>
      </c>
      <c r="G32" s="87" t="s">
        <v>1182</v>
      </c>
    </row>
    <row r="34" customFormat="false" ht="15" hidden="false" customHeight="false" outlineLevel="0" collapsed="false">
      <c r="A34" s="75" t="s">
        <v>1183</v>
      </c>
      <c r="B34" s="69"/>
      <c r="C34" s="69"/>
      <c r="D34" s="69"/>
      <c r="E34" s="69"/>
      <c r="F34" s="69"/>
      <c r="G34" s="69"/>
    </row>
    <row r="35" customFormat="false" ht="15" hidden="false" customHeight="false" outlineLevel="0" collapsed="false">
      <c r="A35" s="59" t="s">
        <v>370</v>
      </c>
      <c r="B35" s="59" t="s">
        <v>83</v>
      </c>
      <c r="C35" s="59" t="s">
        <v>85</v>
      </c>
      <c r="D35" s="59" t="s">
        <v>1150</v>
      </c>
      <c r="E35" s="59" t="s">
        <v>1151</v>
      </c>
      <c r="F35" s="59" t="s">
        <v>87</v>
      </c>
      <c r="G35" s="59" t="s">
        <v>338</v>
      </c>
    </row>
    <row r="36" customFormat="false" ht="15" hidden="false" customHeight="false" outlineLevel="0" collapsed="false">
      <c r="A36" s="5" t="s">
        <v>1184</v>
      </c>
      <c r="B36" s="60" t="s">
        <v>95</v>
      </c>
      <c r="C36" s="66" t="n">
        <v>2</v>
      </c>
      <c r="D36" s="66" t="n">
        <v>1</v>
      </c>
      <c r="E36" s="66" t="n">
        <v>3</v>
      </c>
      <c r="F36" s="58" t="s">
        <v>100</v>
      </c>
      <c r="G36" s="93" t="s">
        <v>1185</v>
      </c>
    </row>
    <row r="37" customFormat="false" ht="15" hidden="false" customHeight="false" outlineLevel="0" collapsed="false">
      <c r="A37" s="5" t="s">
        <v>1186</v>
      </c>
      <c r="B37" s="61" t="s">
        <v>1163</v>
      </c>
      <c r="C37" s="148" t="n">
        <v>0.0833333333333333</v>
      </c>
      <c r="D37" s="148" t="n">
        <v>0.0833333333333333</v>
      </c>
      <c r="E37" s="148" t="n">
        <v>1</v>
      </c>
      <c r="F37" s="58" t="s">
        <v>104</v>
      </c>
      <c r="G37" s="87" t="s">
        <v>1187</v>
      </c>
    </row>
    <row r="38" customFormat="false" ht="15" hidden="false" customHeight="false" outlineLevel="0" collapsed="false">
      <c r="A38" s="5" t="s">
        <v>1188</v>
      </c>
      <c r="B38" s="60" t="s">
        <v>1189</v>
      </c>
      <c r="C38" s="66" t="n">
        <v>5</v>
      </c>
      <c r="D38" s="66" t="n">
        <v>1</v>
      </c>
      <c r="E38" s="66" t="n">
        <v>20</v>
      </c>
      <c r="F38" s="58" t="s">
        <v>100</v>
      </c>
      <c r="G38" s="93" t="s">
        <v>1190</v>
      </c>
    </row>
    <row r="39" customFormat="false" ht="15" hidden="false" customHeight="false" outlineLevel="0" collapsed="false">
      <c r="A39" s="6" t="s">
        <v>1191</v>
      </c>
      <c r="B39" s="61" t="s">
        <v>1192</v>
      </c>
      <c r="C39" s="78" t="n">
        <v>10</v>
      </c>
      <c r="D39" s="78" t="n">
        <v>5</v>
      </c>
      <c r="E39" s="78" t="n">
        <v>20</v>
      </c>
      <c r="F39" s="58" t="s">
        <v>100</v>
      </c>
      <c r="G39" s="87" t="s">
        <v>1193</v>
      </c>
    </row>
    <row r="40" customFormat="false" ht="15" hidden="false" customHeight="false" outlineLevel="0" collapsed="false">
      <c r="A40" s="6" t="s">
        <v>1194</v>
      </c>
      <c r="B40" s="60" t="s">
        <v>134</v>
      </c>
      <c r="C40" s="66" t="n">
        <v>4</v>
      </c>
      <c r="D40" s="66" t="n">
        <v>3</v>
      </c>
      <c r="E40" s="66" t="n">
        <v>6</v>
      </c>
      <c r="F40" s="58" t="s">
        <v>100</v>
      </c>
      <c r="G40" s="93"/>
    </row>
    <row r="41" customFormat="false" ht="15" hidden="false" customHeight="false" outlineLevel="0" collapsed="false">
      <c r="A41" s="6" t="s">
        <v>1195</v>
      </c>
      <c r="B41" s="61" t="s">
        <v>1192</v>
      </c>
      <c r="C41" s="78" t="n">
        <v>0.1</v>
      </c>
      <c r="D41" s="78" t="n">
        <v>0.05</v>
      </c>
      <c r="E41" s="78" t="n">
        <v>0.3</v>
      </c>
      <c r="F41" s="58" t="s">
        <v>100</v>
      </c>
      <c r="G41" s="93" t="s">
        <v>1196</v>
      </c>
    </row>
    <row r="42" customFormat="false" ht="15" hidden="false" customHeight="false" outlineLevel="0" collapsed="false">
      <c r="A42" s="6" t="s">
        <v>1197</v>
      </c>
      <c r="B42" s="60" t="s">
        <v>134</v>
      </c>
      <c r="C42" s="66" t="n">
        <v>5</v>
      </c>
      <c r="D42" s="66" t="n">
        <v>3</v>
      </c>
      <c r="E42" s="66" t="n">
        <v>6</v>
      </c>
      <c r="F42" s="58" t="s">
        <v>100</v>
      </c>
      <c r="G42" s="93"/>
    </row>
    <row r="44" customFormat="false" ht="15" hidden="false" customHeight="false" outlineLevel="0" collapsed="false">
      <c r="A44" s="75" t="s">
        <v>1198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</row>
    <row r="45" customFormat="false" ht="29.85" hidden="false" customHeight="false" outlineLevel="0" collapsed="false">
      <c r="A45" s="83" t="s">
        <v>1199</v>
      </c>
      <c r="B45" s="83" t="s">
        <v>1200</v>
      </c>
      <c r="C45" s="83" t="s">
        <v>1201</v>
      </c>
      <c r="D45" s="83" t="s">
        <v>1202</v>
      </c>
      <c r="E45" s="83" t="s">
        <v>1203</v>
      </c>
      <c r="F45" s="83" t="s">
        <v>1204</v>
      </c>
      <c r="G45" s="83" t="s">
        <v>1205</v>
      </c>
      <c r="H45" s="83" t="s">
        <v>1206</v>
      </c>
      <c r="I45" s="83" t="s">
        <v>1207</v>
      </c>
      <c r="J45" s="83" t="s">
        <v>1208</v>
      </c>
      <c r="K45" s="83" t="s">
        <v>1209</v>
      </c>
      <c r="L45" s="83" t="s">
        <v>87</v>
      </c>
      <c r="M45" s="83" t="s">
        <v>463</v>
      </c>
      <c r="N45" s="83" t="s">
        <v>1210</v>
      </c>
    </row>
    <row r="46" customFormat="false" ht="15" hidden="false" customHeight="false" outlineLevel="0" collapsed="false">
      <c r="A46" s="136" t="s">
        <v>1211</v>
      </c>
      <c r="B46" s="136" t="s">
        <v>1212</v>
      </c>
      <c r="C46" s="105" t="s">
        <v>1213</v>
      </c>
      <c r="D46" s="105" t="s">
        <v>651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6" t="n">
        <v>0</v>
      </c>
      <c r="I46" s="89" t="n">
        <f aca="false">SRC_CAP_009</f>
        <v>37</v>
      </c>
      <c r="J46" s="136" t="s">
        <v>1214</v>
      </c>
      <c r="K46" s="136" t="s">
        <v>1215</v>
      </c>
      <c r="L46" s="136" t="s">
        <v>135</v>
      </c>
      <c r="M46" s="87" t="s">
        <v>1216</v>
      </c>
      <c r="N46" s="111" t="n">
        <f aca="false">IF($C46="中國",1,0)</f>
        <v>0</v>
      </c>
    </row>
    <row r="47" customFormat="false" ht="15" hidden="false" customHeight="false" outlineLevel="0" collapsed="false">
      <c r="A47" s="136" t="s">
        <v>1217</v>
      </c>
      <c r="B47" s="136" t="s">
        <v>1212</v>
      </c>
      <c r="C47" s="105" t="s">
        <v>1213</v>
      </c>
      <c r="D47" s="105" t="s">
        <v>651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6" t="n">
        <v>0</v>
      </c>
      <c r="I47" s="89" t="n">
        <f aca="false">SRC_CAP_008</f>
        <v>48</v>
      </c>
      <c r="J47" s="136" t="s">
        <v>1214</v>
      </c>
      <c r="K47" s="136" t="s">
        <v>1215</v>
      </c>
      <c r="L47" s="136" t="s">
        <v>135</v>
      </c>
      <c r="M47" s="87" t="s">
        <v>1218</v>
      </c>
      <c r="N47" s="111" t="n">
        <f aca="false">IF($C47="中國",1,0)</f>
        <v>0</v>
      </c>
    </row>
    <row r="48" customFormat="false" ht="15" hidden="false" customHeight="false" outlineLevel="0" collapsed="false">
      <c r="A48" s="136" t="s">
        <v>1219</v>
      </c>
      <c r="B48" s="136" t="s">
        <v>1212</v>
      </c>
      <c r="C48" s="105" t="s">
        <v>1213</v>
      </c>
      <c r="D48" s="105" t="s">
        <v>651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6" t="n">
        <v>0</v>
      </c>
      <c r="I48" s="89" t="n">
        <f aca="false">SRC_CAP_001</f>
        <v>53</v>
      </c>
      <c r="J48" s="136" t="s">
        <v>1220</v>
      </c>
      <c r="K48" s="136" t="s">
        <v>1215</v>
      </c>
      <c r="L48" s="136" t="s">
        <v>135</v>
      </c>
      <c r="M48" s="87" t="s">
        <v>1221</v>
      </c>
      <c r="N48" s="111" t="n">
        <f aca="false">IF($C48="中國",1,0)</f>
        <v>0</v>
      </c>
    </row>
    <row r="49" customFormat="false" ht="15" hidden="false" customHeight="false" outlineLevel="0" collapsed="false">
      <c r="A49" s="136" t="s">
        <v>1222</v>
      </c>
      <c r="B49" s="136" t="s">
        <v>1223</v>
      </c>
      <c r="C49" s="105" t="s">
        <v>1213</v>
      </c>
      <c r="D49" s="105" t="s">
        <v>651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6" t="n">
        <v>0</v>
      </c>
      <c r="I49" s="89" t="n">
        <f aca="false">SRC_CAP_002</f>
        <v>53</v>
      </c>
      <c r="J49" s="136" t="s">
        <v>1220</v>
      </c>
      <c r="K49" s="136" t="s">
        <v>1224</v>
      </c>
      <c r="L49" s="136" t="s">
        <v>212</v>
      </c>
      <c r="M49" s="87" t="s">
        <v>1225</v>
      </c>
      <c r="N49" s="111" t="n">
        <f aca="false">IF($C49="中國",1,0)</f>
        <v>0</v>
      </c>
    </row>
    <row r="50" customFormat="false" ht="15" hidden="false" customHeight="false" outlineLevel="0" collapsed="false">
      <c r="A50" s="136" t="s">
        <v>1226</v>
      </c>
      <c r="B50" s="136" t="s">
        <v>1223</v>
      </c>
      <c r="C50" s="105" t="s">
        <v>1213</v>
      </c>
      <c r="D50" s="105" t="s">
        <v>651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6" t="n">
        <v>0</v>
      </c>
      <c r="I50" s="89" t="n">
        <f aca="false">SRC_CAP_003</f>
        <v>51</v>
      </c>
      <c r="J50" s="136" t="s">
        <v>1220</v>
      </c>
      <c r="K50" s="136" t="s">
        <v>1227</v>
      </c>
      <c r="L50" s="136" t="s">
        <v>212</v>
      </c>
      <c r="M50" s="87" t="s">
        <v>1228</v>
      </c>
      <c r="N50" s="111" t="n">
        <f aca="false">IF($C50="中國",1,0)</f>
        <v>0</v>
      </c>
    </row>
    <row r="51" customFormat="false" ht="26.85" hidden="false" customHeight="false" outlineLevel="0" collapsed="false">
      <c r="A51" s="136" t="s">
        <v>1229</v>
      </c>
      <c r="B51" s="136" t="s">
        <v>1223</v>
      </c>
      <c r="C51" s="105" t="s">
        <v>1213</v>
      </c>
      <c r="D51" s="105" t="s">
        <v>651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6" t="n">
        <v>0</v>
      </c>
      <c r="J51" s="105" t="s">
        <v>1230</v>
      </c>
      <c r="K51" s="136" t="s">
        <v>1231</v>
      </c>
      <c r="L51" s="136" t="s">
        <v>212</v>
      </c>
      <c r="M51" s="87" t="s">
        <v>1232</v>
      </c>
      <c r="N51" s="111" t="n">
        <f aca="false">IF($C51="中國",1,0)</f>
        <v>0</v>
      </c>
    </row>
    <row r="52" customFormat="false" ht="15" hidden="false" customHeight="false" outlineLevel="0" collapsed="false">
      <c r="A52" s="136" t="s">
        <v>1233</v>
      </c>
      <c r="B52" s="136" t="s">
        <v>1234</v>
      </c>
      <c r="C52" s="105" t="s">
        <v>1235</v>
      </c>
      <c r="D52" s="105" t="s">
        <v>623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6" t="n">
        <v>1</v>
      </c>
      <c r="I52" s="89" t="n">
        <f aca="false">SRC_CAP_010</f>
        <v>39</v>
      </c>
      <c r="J52" s="136" t="s">
        <v>1214</v>
      </c>
      <c r="K52" s="136" t="s">
        <v>1236</v>
      </c>
      <c r="L52" s="136" t="s">
        <v>135</v>
      </c>
      <c r="M52" s="87" t="s">
        <v>1237</v>
      </c>
      <c r="N52" s="111" t="n">
        <f aca="false">IF($C52="中國",1,0)</f>
        <v>1</v>
      </c>
    </row>
    <row r="53" customFormat="false" ht="15" hidden="false" customHeight="false" outlineLevel="0" collapsed="false">
      <c r="A53" s="136" t="s">
        <v>1238</v>
      </c>
      <c r="B53" s="136" t="s">
        <v>1234</v>
      </c>
      <c r="C53" s="105" t="s">
        <v>1235</v>
      </c>
      <c r="D53" s="105" t="s">
        <v>623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6" t="n">
        <v>1</v>
      </c>
      <c r="I53" s="66" t="n">
        <v>36</v>
      </c>
      <c r="J53" s="136" t="s">
        <v>1220</v>
      </c>
      <c r="K53" s="136" t="s">
        <v>1236</v>
      </c>
      <c r="L53" s="136" t="s">
        <v>135</v>
      </c>
      <c r="M53" s="87" t="s">
        <v>1239</v>
      </c>
      <c r="N53" s="111" t="n">
        <f aca="false">IF($C53="中國",1,0)</f>
        <v>1</v>
      </c>
    </row>
    <row r="54" customFormat="false" ht="15" hidden="false" customHeight="false" outlineLevel="0" collapsed="false">
      <c r="A54" s="136" t="s">
        <v>1240</v>
      </c>
      <c r="B54" s="136" t="s">
        <v>1241</v>
      </c>
      <c r="C54" s="105" t="s">
        <v>1235</v>
      </c>
      <c r="D54" s="105" t="s">
        <v>1242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6" t="n">
        <v>0</v>
      </c>
      <c r="I54" s="89" t="n">
        <f aca="false">SRC_CAP_011</f>
        <v>45</v>
      </c>
      <c r="J54" s="136" t="s">
        <v>1214</v>
      </c>
      <c r="K54" s="136" t="s">
        <v>1236</v>
      </c>
      <c r="L54" s="136" t="s">
        <v>135</v>
      </c>
      <c r="M54" s="87" t="s">
        <v>1243</v>
      </c>
      <c r="N54" s="111" t="n">
        <f aca="false">IF($C54="中國",1,0)</f>
        <v>1</v>
      </c>
    </row>
    <row r="55" customFormat="false" ht="15" hidden="false" customHeight="false" outlineLevel="0" collapsed="false">
      <c r="A55" s="136" t="s">
        <v>1244</v>
      </c>
      <c r="B55" s="136" t="s">
        <v>1241</v>
      </c>
      <c r="C55" s="105" t="s">
        <v>1235</v>
      </c>
      <c r="D55" s="105" t="s">
        <v>623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6" t="n">
        <v>0</v>
      </c>
      <c r="I55" s="89" t="n">
        <f aca="false">SRC_CAP_005</f>
        <v>42</v>
      </c>
      <c r="J55" s="136" t="s">
        <v>1220</v>
      </c>
      <c r="K55" s="136" t="s">
        <v>1236</v>
      </c>
      <c r="L55" s="136" t="s">
        <v>135</v>
      </c>
      <c r="M55" s="87" t="s">
        <v>1245</v>
      </c>
      <c r="N55" s="111" t="n">
        <f aca="false">IF($C55="中國",1,0)</f>
        <v>1</v>
      </c>
    </row>
    <row r="56" customFormat="false" ht="24.6" hidden="false" customHeight="false" outlineLevel="0" collapsed="false">
      <c r="A56" s="136" t="s">
        <v>1246</v>
      </c>
      <c r="B56" s="136" t="s">
        <v>1247</v>
      </c>
      <c r="C56" s="105" t="s">
        <v>1235</v>
      </c>
      <c r="D56" s="105" t="s">
        <v>1248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6" t="n">
        <v>0</v>
      </c>
      <c r="I56" s="66" t="n">
        <v>40</v>
      </c>
      <c r="J56" s="136" t="s">
        <v>1220</v>
      </c>
      <c r="K56" s="136" t="s">
        <v>1224</v>
      </c>
      <c r="L56" s="136" t="s">
        <v>212</v>
      </c>
      <c r="M56" s="87" t="s">
        <v>1249</v>
      </c>
      <c r="N56" s="111" t="n">
        <f aca="false">IF($C56="中國",1,0)</f>
        <v>1</v>
      </c>
    </row>
    <row r="57" customFormat="false" ht="15" hidden="false" customHeight="false" outlineLevel="0" collapsed="false">
      <c r="A57" s="136" t="s">
        <v>1250</v>
      </c>
      <c r="B57" s="136" t="s">
        <v>1251</v>
      </c>
      <c r="C57" s="105" t="s">
        <v>1235</v>
      </c>
      <c r="D57" s="105" t="s">
        <v>1252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6" t="n">
        <v>0</v>
      </c>
      <c r="J57" s="105" t="s">
        <v>1230</v>
      </c>
      <c r="K57" s="136" t="s">
        <v>1253</v>
      </c>
      <c r="L57" s="136" t="s">
        <v>212</v>
      </c>
      <c r="M57" s="87" t="s">
        <v>1254</v>
      </c>
      <c r="N57" s="111" t="n">
        <f aca="false">IF($C57="中國",1,0)</f>
        <v>1</v>
      </c>
    </row>
    <row r="58" customFormat="false" ht="15" hidden="false" customHeight="false" outlineLevel="0" collapsed="false">
      <c r="A58" s="136" t="s">
        <v>1255</v>
      </c>
      <c r="B58" s="136" t="s">
        <v>1256</v>
      </c>
      <c r="C58" s="105" t="s">
        <v>1235</v>
      </c>
      <c r="D58" s="105" t="s">
        <v>651</v>
      </c>
      <c r="E58" s="94" t="n">
        <f aca="false">SRC_PRC_043</f>
        <v>0.3</v>
      </c>
      <c r="G58" s="94" t="n">
        <f aca="false">SRC_PRC_044</f>
        <v>1.2</v>
      </c>
      <c r="H58" s="66" t="n">
        <v>0</v>
      </c>
      <c r="J58" s="105" t="s">
        <v>1230</v>
      </c>
      <c r="K58" s="136" t="s">
        <v>1227</v>
      </c>
      <c r="L58" s="136" t="s">
        <v>212</v>
      </c>
      <c r="M58" s="87" t="s">
        <v>1257</v>
      </c>
      <c r="N58" s="111" t="n">
        <f aca="false">IF($C58="中國",1,0)</f>
        <v>1</v>
      </c>
    </row>
    <row r="59" customFormat="false" ht="15" hidden="false" customHeight="false" outlineLevel="0" collapsed="false">
      <c r="A59" s="73" t="s">
        <v>1258</v>
      </c>
    </row>
    <row r="61" customFormat="false" ht="15" hidden="false" customHeight="false" outlineLevel="0" collapsed="false">
      <c r="A61" s="75" t="s">
        <v>1259</v>
      </c>
      <c r="B61" s="69"/>
      <c r="C61" s="69"/>
      <c r="D61" s="69"/>
      <c r="E61" s="69"/>
      <c r="F61" s="69"/>
      <c r="G61" s="69"/>
    </row>
    <row r="62" customFormat="false" ht="15" hidden="false" customHeight="false" outlineLevel="0" collapsed="false">
      <c r="A62" s="59" t="s">
        <v>370</v>
      </c>
      <c r="B62" s="59" t="s">
        <v>83</v>
      </c>
      <c r="C62" s="59" t="s">
        <v>337</v>
      </c>
      <c r="F62" s="59" t="s">
        <v>87</v>
      </c>
      <c r="G62" s="59" t="s">
        <v>338</v>
      </c>
    </row>
    <row r="63" customFormat="false" ht="52.2" hidden="false" customHeight="false" outlineLevel="0" collapsed="false">
      <c r="A63" s="5" t="s">
        <v>1260</v>
      </c>
      <c r="B63" s="61" t="s">
        <v>103</v>
      </c>
      <c r="C63" s="78" t="n">
        <v>1</v>
      </c>
      <c r="F63" s="58" t="s">
        <v>1261</v>
      </c>
      <c r="G63" s="93" t="s">
        <v>1262</v>
      </c>
    </row>
    <row r="64" customFormat="false" ht="39.55" hidden="false" customHeight="false" outlineLevel="0" collapsed="false">
      <c r="A64" s="5" t="s">
        <v>1263</v>
      </c>
      <c r="B64" s="61" t="s">
        <v>103</v>
      </c>
      <c r="C64" s="78" t="n">
        <v>1</v>
      </c>
      <c r="F64" s="58" t="s">
        <v>100</v>
      </c>
      <c r="G64" s="93" t="s">
        <v>1264</v>
      </c>
    </row>
    <row r="66" customFormat="false" ht="15" hidden="false" customHeight="false" outlineLevel="0" collapsed="false">
      <c r="A66" s="75" t="s">
        <v>1265</v>
      </c>
      <c r="B66" s="69"/>
      <c r="C66" s="69"/>
      <c r="D66" s="69"/>
      <c r="E66" s="69"/>
      <c r="F66" s="69"/>
      <c r="G66" s="69"/>
    </row>
    <row r="67" customFormat="false" ht="15" hidden="false" customHeight="false" outlineLevel="0" collapsed="false">
      <c r="A67" s="59" t="s">
        <v>370</v>
      </c>
      <c r="B67" s="59" t="s">
        <v>83</v>
      </c>
      <c r="C67" s="59" t="s">
        <v>85</v>
      </c>
      <c r="D67" s="10" t="s">
        <v>1266</v>
      </c>
      <c r="E67" s="10" t="s">
        <v>1267</v>
      </c>
      <c r="F67" s="59" t="s">
        <v>87</v>
      </c>
      <c r="G67" s="59" t="s">
        <v>338</v>
      </c>
    </row>
    <row r="68" customFormat="false" ht="15" hidden="false" customHeight="false" outlineLevel="0" collapsed="false">
      <c r="A68" s="10" t="s">
        <v>1268</v>
      </c>
    </row>
    <row r="69" customFormat="false" ht="15" hidden="false" customHeight="false" outlineLevel="0" collapsed="false">
      <c r="A69" s="6" t="s">
        <v>1269</v>
      </c>
      <c r="B69" s="61" t="s">
        <v>879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8" t="s">
        <v>1270</v>
      </c>
      <c r="G69" s="87" t="s">
        <v>1271</v>
      </c>
    </row>
    <row r="70" customFormat="false" ht="39.55" hidden="false" customHeight="false" outlineLevel="0" collapsed="false">
      <c r="A70" s="5" t="s">
        <v>1272</v>
      </c>
      <c r="B70" s="61" t="s">
        <v>99</v>
      </c>
      <c r="C70" s="109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8" t="s">
        <v>1273</v>
      </c>
      <c r="G70" s="93" t="s">
        <v>1274</v>
      </c>
    </row>
    <row r="71" customFormat="false" ht="29.85" hidden="false" customHeight="false" outlineLevel="0" collapsed="false">
      <c r="A71" s="6" t="s">
        <v>1275</v>
      </c>
      <c r="B71" s="61" t="s">
        <v>99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8" t="s">
        <v>147</v>
      </c>
      <c r="G71" s="87" t="s">
        <v>1276</v>
      </c>
    </row>
    <row r="72" customFormat="false" ht="15" hidden="false" customHeight="false" outlineLevel="0" collapsed="false">
      <c r="A72" s="5" t="s">
        <v>1277</v>
      </c>
      <c r="B72" s="61" t="s">
        <v>879</v>
      </c>
      <c r="C72" s="115" t="n">
        <f aca="false">C69*C70</f>
        <v>9.149</v>
      </c>
      <c r="D72" s="115" t="n">
        <f aca="false">D69*D70</f>
        <v>8</v>
      </c>
      <c r="E72" s="115" t="n">
        <f aca="false">E69*E70</f>
        <v>10.7174</v>
      </c>
      <c r="F72" s="58" t="s">
        <v>147</v>
      </c>
      <c r="G72" s="93" t="s">
        <v>1278</v>
      </c>
    </row>
    <row r="73" customFormat="false" ht="15" hidden="false" customHeight="false" outlineLevel="0" collapsed="false">
      <c r="A73" s="6" t="s">
        <v>1279</v>
      </c>
      <c r="B73" s="61" t="s">
        <v>879</v>
      </c>
      <c r="C73" s="115" t="n">
        <f aca="false">C69*C71</f>
        <v>3.921</v>
      </c>
      <c r="D73" s="115" t="n">
        <f aca="false">D69*D71</f>
        <v>2.3526</v>
      </c>
      <c r="E73" s="115" t="n">
        <f aca="false">E69*E71</f>
        <v>5.07</v>
      </c>
      <c r="F73" s="58" t="s">
        <v>147</v>
      </c>
      <c r="G73" s="93" t="s">
        <v>1280</v>
      </c>
    </row>
    <row r="74" customFormat="false" ht="15" hidden="false" customHeight="false" outlineLevel="0" collapsed="false">
      <c r="A74" s="10" t="s">
        <v>1281</v>
      </c>
    </row>
    <row r="75" customFormat="false" ht="15" hidden="false" customHeight="false" outlineLevel="0" collapsed="false">
      <c r="A75" s="6" t="s">
        <v>1282</v>
      </c>
      <c r="B75" s="60" t="s">
        <v>1283</v>
      </c>
      <c r="C75" s="98" t="n">
        <f aca="false">SRC_DEM_024</f>
        <v>15.5</v>
      </c>
      <c r="D75" s="61" t="s">
        <v>620</v>
      </c>
      <c r="E75" s="61" t="s">
        <v>620</v>
      </c>
      <c r="F75" s="58" t="s">
        <v>1270</v>
      </c>
      <c r="G75" s="87" t="s">
        <v>1284</v>
      </c>
    </row>
    <row r="76" customFormat="false" ht="15" hidden="false" customHeight="false" outlineLevel="0" collapsed="false">
      <c r="A76" s="6" t="s">
        <v>1285</v>
      </c>
      <c r="B76" s="60" t="s">
        <v>1283</v>
      </c>
      <c r="C76" s="98" t="n">
        <f aca="false">SRC_DEM_025</f>
        <v>20</v>
      </c>
      <c r="D76" s="61" t="s">
        <v>620</v>
      </c>
      <c r="E76" s="61" t="s">
        <v>620</v>
      </c>
      <c r="F76" s="58" t="s">
        <v>1270</v>
      </c>
      <c r="G76" s="87" t="s">
        <v>1286</v>
      </c>
    </row>
    <row r="77" customFormat="false" ht="15" hidden="false" customHeight="false" outlineLevel="0" collapsed="false">
      <c r="A77" s="6" t="s">
        <v>1287</v>
      </c>
      <c r="B77" s="60" t="s">
        <v>1283</v>
      </c>
      <c r="C77" s="98" t="n">
        <f aca="false">SRC_DEM_026</f>
        <v>35</v>
      </c>
      <c r="D77" s="61" t="s">
        <v>620</v>
      </c>
      <c r="E77" s="61" t="s">
        <v>620</v>
      </c>
      <c r="F77" s="58" t="s">
        <v>1270</v>
      </c>
      <c r="G77" s="87" t="s">
        <v>1288</v>
      </c>
    </row>
    <row r="78" customFormat="false" ht="15" hidden="false" customHeight="false" outlineLevel="0" collapsed="false">
      <c r="A78" s="6" t="s">
        <v>1289</v>
      </c>
      <c r="B78" s="60" t="s">
        <v>1283</v>
      </c>
      <c r="C78" s="98" t="n">
        <f aca="false">SRC_DEM_019</f>
        <v>50</v>
      </c>
      <c r="D78" s="61" t="s">
        <v>620</v>
      </c>
      <c r="E78" s="61" t="s">
        <v>620</v>
      </c>
      <c r="F78" s="58" t="s">
        <v>1290</v>
      </c>
      <c r="G78" s="87" t="s">
        <v>1291</v>
      </c>
    </row>
    <row r="79" customFormat="false" ht="29.85" hidden="false" customHeight="false" outlineLevel="0" collapsed="false">
      <c r="A79" s="6" t="s">
        <v>1292</v>
      </c>
      <c r="B79" s="60" t="s">
        <v>1283</v>
      </c>
      <c r="C79" s="74" t="n">
        <f aca="false">(C75+C78)/2</f>
        <v>32.75</v>
      </c>
      <c r="D79" s="74" t="n">
        <f aca="false">C79</f>
        <v>32.75</v>
      </c>
      <c r="E79" s="74" t="n">
        <f aca="false">C79</f>
        <v>32.75</v>
      </c>
      <c r="F79" s="58" t="s">
        <v>147</v>
      </c>
      <c r="G79" s="87" t="s">
        <v>1293</v>
      </c>
    </row>
    <row r="80" customFormat="false" ht="15" hidden="false" customHeight="false" outlineLevel="0" collapsed="false">
      <c r="A80" s="10" t="s">
        <v>1294</v>
      </c>
    </row>
    <row r="81" customFormat="false" ht="29.85" hidden="false" customHeight="false" outlineLevel="0" collapsed="false">
      <c r="A81" s="6" t="s">
        <v>1295</v>
      </c>
      <c r="B81" s="61" t="s">
        <v>799</v>
      </c>
      <c r="C81" s="67" t="n">
        <f aca="false">AL_DChatPaid</f>
        <v>1460000000</v>
      </c>
      <c r="D81" s="67" t="n">
        <f aca="false">SRC_DEM_012*1000000000*AL_TokPerPrompt_Hi*365/1000000*(1-AL_FreeShare_Lo)</f>
        <v>6022500000</v>
      </c>
      <c r="E81" s="67" t="n">
        <f aca="false">SRC_DEM_012*1000000000*AL_TokPerPrompt_Lo*365/1000000*(1-AL_FreeShare_Hi)</f>
        <v>365000000</v>
      </c>
      <c r="F81" s="58" t="s">
        <v>1296</v>
      </c>
      <c r="G81" s="93" t="s">
        <v>1297</v>
      </c>
    </row>
    <row r="82" customFormat="false" ht="29.85" hidden="false" customHeight="false" outlineLevel="0" collapsed="false">
      <c r="A82" s="6" t="s">
        <v>1298</v>
      </c>
      <c r="B82" s="61" t="s">
        <v>799</v>
      </c>
      <c r="C82" s="67" t="n">
        <f aca="false">AL_DAPI</f>
        <v>2365200000</v>
      </c>
      <c r="D82" s="67" t="n">
        <f aca="false">SRC_DEM_010*1000000000*525600*AL_APIratio_Hi/1000000</f>
        <v>2838240000</v>
      </c>
      <c r="E82" s="67" t="n">
        <f aca="false">SRC_DEM_010*1000000000*525600*AL_APIratio_Lo/1000000</f>
        <v>1892160000</v>
      </c>
      <c r="F82" s="58" t="s">
        <v>1296</v>
      </c>
      <c r="G82" s="93" t="s">
        <v>1299</v>
      </c>
    </row>
    <row r="83" customFormat="false" ht="15" hidden="false" customHeight="false" outlineLevel="0" collapsed="false">
      <c r="A83" s="6" t="s">
        <v>1300</v>
      </c>
      <c r="B83" s="61" t="s">
        <v>799</v>
      </c>
      <c r="C83" s="67" t="n">
        <f aca="false">C81+C82</f>
        <v>3825200000</v>
      </c>
      <c r="D83" s="67" t="n">
        <f aca="false">D81+D82</f>
        <v>8860740000</v>
      </c>
      <c r="E83" s="67" t="n">
        <f aca="false">E81+E82</f>
        <v>2257160000</v>
      </c>
      <c r="F83" s="58" t="s">
        <v>147</v>
      </c>
      <c r="G83" s="93" t="s">
        <v>1301</v>
      </c>
    </row>
    <row r="84" customFormat="false" ht="15" hidden="false" customHeight="false" outlineLevel="0" collapsed="false">
      <c r="A84" s="5" t="s">
        <v>1302</v>
      </c>
      <c r="B84" s="61" t="s">
        <v>1303</v>
      </c>
      <c r="C84" s="74" t="n">
        <f aca="false">C81/(C79*1000000)</f>
        <v>44.5801526717557</v>
      </c>
      <c r="D84" s="74" t="n">
        <f aca="false">D81/(D79*1000000)</f>
        <v>183.893129770992</v>
      </c>
      <c r="E84" s="74" t="n">
        <f aca="false">E81/(E79*1000000)</f>
        <v>11.1450381679389</v>
      </c>
      <c r="F84" s="58" t="s">
        <v>147</v>
      </c>
      <c r="G84" s="87" t="s">
        <v>1304</v>
      </c>
    </row>
    <row r="85" customFormat="false" ht="29.85" hidden="false" customHeight="false" outlineLevel="0" collapsed="false">
      <c r="A85" s="6" t="s">
        <v>1305</v>
      </c>
      <c r="B85" s="61" t="s">
        <v>799</v>
      </c>
      <c r="C85" s="67" t="n">
        <f aca="false">SRC_DEM_011*1000000000*525600/1000000</f>
        <v>7884000000</v>
      </c>
      <c r="D85" s="67" t="n">
        <f aca="false">C85</f>
        <v>7884000000</v>
      </c>
      <c r="E85" s="67" t="n">
        <f aca="false">C85</f>
        <v>7884000000</v>
      </c>
      <c r="F85" s="58" t="s">
        <v>1306</v>
      </c>
      <c r="G85" s="87" t="s">
        <v>1307</v>
      </c>
    </row>
    <row r="86" customFormat="false" ht="29.85" hidden="false" customHeight="false" outlineLevel="0" collapsed="false">
      <c r="A86" s="6" t="s">
        <v>1308</v>
      </c>
      <c r="B86" s="61" t="s">
        <v>1309</v>
      </c>
      <c r="C86" s="74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8" t="s">
        <v>1290</v>
      </c>
      <c r="G86" s="87" t="s">
        <v>1310</v>
      </c>
    </row>
    <row r="87" customFormat="false" ht="15" hidden="false" customHeight="false" outlineLevel="0" collapsed="false">
      <c r="A87" s="5" t="s">
        <v>1311</v>
      </c>
      <c r="B87" s="61" t="s">
        <v>99</v>
      </c>
      <c r="C87" s="103" t="n">
        <f aca="false">1-IF_FreeShare</f>
        <v>0.54</v>
      </c>
      <c r="D87" s="103" t="n">
        <f aca="false">C87</f>
        <v>0.54</v>
      </c>
      <c r="E87" s="103" t="n">
        <f aca="false">C87</f>
        <v>0.54</v>
      </c>
      <c r="F87" s="58" t="s">
        <v>1175</v>
      </c>
      <c r="G87" s="87" t="s">
        <v>1312</v>
      </c>
    </row>
    <row r="88" customFormat="false" ht="15" hidden="false" customHeight="false" outlineLevel="0" collapsed="false">
      <c r="A88" s="6" t="s">
        <v>1313</v>
      </c>
      <c r="B88" s="61" t="s">
        <v>799</v>
      </c>
      <c r="C88" s="67" t="n">
        <f aca="false">C86*1000000*365*C87</f>
        <v>6232849268.19188</v>
      </c>
      <c r="D88" s="67" t="n">
        <f aca="false">D86*1000000*365*D87</f>
        <v>19710000000</v>
      </c>
      <c r="E88" s="67" t="n">
        <f aca="false">E86*1000000*365*E87</f>
        <v>1971000000</v>
      </c>
      <c r="F88" s="58" t="s">
        <v>147</v>
      </c>
      <c r="G88" s="87" t="s">
        <v>1314</v>
      </c>
    </row>
    <row r="89" customFormat="false" ht="15" hidden="false" customHeight="false" outlineLevel="0" collapsed="false">
      <c r="A89" s="10" t="s">
        <v>1315</v>
      </c>
    </row>
    <row r="90" customFormat="false" ht="29.85" hidden="false" customHeight="false" outlineLevel="0" collapsed="false">
      <c r="A90" s="5" t="s">
        <v>1316</v>
      </c>
      <c r="B90" s="61" t="s">
        <v>807</v>
      </c>
      <c r="C90" s="126" t="n">
        <f aca="false">INDEX(B4_MixPaid,1,1)*IF_PriceRef_Luna+INDEX(B4_MixPaid,1,2)*IF_PriceRef_Sol+INDEX(B4_MixPaid,1,3)*IF_PriceRef_Astra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8" t="s">
        <v>147</v>
      </c>
      <c r="G90" s="93" t="s">
        <v>1317</v>
      </c>
    </row>
    <row r="91" customFormat="false" ht="15" hidden="false" customHeight="false" outlineLevel="0" collapsed="false">
      <c r="A91" s="10" t="s">
        <v>1318</v>
      </c>
    </row>
    <row r="92" customFormat="false" ht="15" hidden="false" customHeight="false" outlineLevel="0" collapsed="false">
      <c r="A92" s="5" t="s">
        <v>1319</v>
      </c>
      <c r="B92" s="61" t="s">
        <v>103</v>
      </c>
      <c r="C92" s="114" t="n">
        <f aca="false">C72*1000000000/(C81*C90)</f>
        <v>3.1960608364849</v>
      </c>
      <c r="D92" s="114" t="n">
        <f aca="false">D72*1000000000/(D81*D90)</f>
        <v>0.677497105280701</v>
      </c>
      <c r="E92" s="114" t="n">
        <f aca="false">E72*1000000000/(E81*E90)</f>
        <v>14.9758279195292</v>
      </c>
      <c r="F92" s="58" t="s">
        <v>147</v>
      </c>
      <c r="G92" s="87" t="s">
        <v>1320</v>
      </c>
    </row>
    <row r="93" customFormat="false" ht="15" hidden="false" customHeight="false" outlineLevel="0" collapsed="false">
      <c r="A93" s="5" t="s">
        <v>1321</v>
      </c>
      <c r="B93" s="61" t="s">
        <v>103</v>
      </c>
      <c r="C93" s="114" t="n">
        <f aca="false">C73*1000000000/(C82*C90)</f>
        <v>0.84551873981082</v>
      </c>
      <c r="D93" s="114" t="n">
        <f aca="false">D73*1000000000/(D82*D90)</f>
        <v>0.42275936990541</v>
      </c>
      <c r="E93" s="114" t="n">
        <f aca="false">E73*1000000000/(E82*E90)</f>
        <v>1.36660928680211</v>
      </c>
      <c r="F93" s="58" t="s">
        <v>147</v>
      </c>
      <c r="G93" s="93"/>
    </row>
    <row r="94" customFormat="false" ht="15" hidden="false" customHeight="false" outlineLevel="0" collapsed="false">
      <c r="A94" s="5" t="s">
        <v>1322</v>
      </c>
      <c r="B94" s="61" t="s">
        <v>103</v>
      </c>
      <c r="C94" s="106" t="n">
        <f aca="false">C69*1000000000/(C83*C90)</f>
        <v>1.74267221182383</v>
      </c>
      <c r="D94" s="114" t="n">
        <f aca="false">D69*1000000000/(D83*D90)</f>
        <v>0.752315240563261</v>
      </c>
      <c r="E94" s="114" t="n">
        <f aca="false">E69*1000000000/(E83*E90)</f>
        <v>2.95329960865358</v>
      </c>
      <c r="F94" s="58" t="s">
        <v>147</v>
      </c>
      <c r="G94" s="93" t="s">
        <v>1323</v>
      </c>
    </row>
    <row r="95" customFormat="false" ht="15" hidden="false" customHeight="false" outlineLevel="0" collapsed="false">
      <c r="A95" s="5" t="s">
        <v>1324</v>
      </c>
      <c r="B95" s="61" t="s">
        <v>103</v>
      </c>
      <c r="C95" s="60" t="s">
        <v>1325</v>
      </c>
      <c r="D95" s="61" t="s">
        <v>620</v>
      </c>
      <c r="E95" s="61" t="s">
        <v>620</v>
      </c>
      <c r="F95" s="58" t="s">
        <v>620</v>
      </c>
      <c r="G95" s="93" t="s">
        <v>1326</v>
      </c>
    </row>
    <row r="96" customFormat="false" ht="29.85" hidden="false" customHeight="false" outlineLevel="0" collapsed="false">
      <c r="A96" s="5" t="s">
        <v>1327</v>
      </c>
      <c r="B96" s="61" t="s">
        <v>103</v>
      </c>
      <c r="C96" s="114" t="n">
        <f aca="false">C73*1000000000/(C85*C90)</f>
        <v>0.253655621943246</v>
      </c>
      <c r="D96" s="114" t="n">
        <f aca="false">D73*1000000000/(D85*D90)</f>
        <v>0.152193373165948</v>
      </c>
      <c r="E96" s="114" t="n">
        <f aca="false">E73*1000000000/(E85*E90)</f>
        <v>0.327986228832506</v>
      </c>
      <c r="F96" s="58" t="s">
        <v>147</v>
      </c>
      <c r="G96" s="93" t="s">
        <v>1328</v>
      </c>
    </row>
    <row r="97" customFormat="false" ht="26.85" hidden="false" customHeight="false" outlineLevel="0" collapsed="false">
      <c r="A97" s="5" t="s">
        <v>1329</v>
      </c>
      <c r="B97" s="61" t="s">
        <v>103</v>
      </c>
      <c r="C97" s="106" t="n">
        <f aca="false">C69*1000000000/(C88*C90)</f>
        <v>1.06950600886299</v>
      </c>
      <c r="D97" s="114" t="n">
        <f aca="false">D69*1000000000/(D88*D90)</f>
        <v>0.338207495924328</v>
      </c>
      <c r="E97" s="114" t="n">
        <f aca="false">E69*1000000000/(E88*E90)</f>
        <v>3.38207495924328</v>
      </c>
      <c r="F97" s="58" t="s">
        <v>147</v>
      </c>
      <c r="G97" s="87" t="s">
        <v>1330</v>
      </c>
    </row>
    <row r="98" customFormat="false" ht="15" hidden="false" customHeight="false" outlineLevel="0" collapsed="false">
      <c r="A98" s="10" t="s">
        <v>1331</v>
      </c>
    </row>
    <row r="99" customFormat="false" ht="15" hidden="false" customHeight="false" outlineLevel="0" collapsed="false">
      <c r="A99" s="6" t="s">
        <v>1332</v>
      </c>
      <c r="B99" s="61" t="s">
        <v>1333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8" t="s">
        <v>1290</v>
      </c>
      <c r="G99" s="87" t="s">
        <v>1334</v>
      </c>
    </row>
    <row r="100" customFormat="false" ht="15" hidden="false" customHeight="false" outlineLevel="0" collapsed="false">
      <c r="A100" s="5" t="s">
        <v>1335</v>
      </c>
      <c r="B100" s="60" t="s">
        <v>1336</v>
      </c>
      <c r="C100" s="66" t="n">
        <v>21</v>
      </c>
      <c r="D100" s="111" t="n">
        <f aca="false">C100</f>
        <v>21</v>
      </c>
      <c r="E100" s="111" t="n">
        <f aca="false">C100</f>
        <v>21</v>
      </c>
      <c r="F100" s="58" t="s">
        <v>100</v>
      </c>
      <c r="G100" s="87" t="s">
        <v>1337</v>
      </c>
    </row>
    <row r="101" customFormat="false" ht="15" hidden="false" customHeight="false" outlineLevel="0" collapsed="false">
      <c r="A101" s="5" t="s">
        <v>1338</v>
      </c>
      <c r="B101" s="61" t="s">
        <v>1339</v>
      </c>
      <c r="C101" s="67" t="n">
        <f aca="false">C99*C100</f>
        <v>273</v>
      </c>
      <c r="D101" s="67" t="n">
        <f aca="false">D99*D100</f>
        <v>630</v>
      </c>
      <c r="E101" s="67" t="n">
        <f aca="false">E99*E100</f>
        <v>273</v>
      </c>
      <c r="F101" s="58" t="s">
        <v>147</v>
      </c>
      <c r="G101" s="93"/>
    </row>
    <row r="102" customFormat="false" ht="29.85" hidden="false" customHeight="false" outlineLevel="0" collapsed="false">
      <c r="A102" s="5" t="s">
        <v>1340</v>
      </c>
      <c r="B102" s="61" t="s">
        <v>1341</v>
      </c>
      <c r="C102" s="63" t="n">
        <v>200</v>
      </c>
      <c r="D102" s="67" t="n">
        <f aca="false">C102</f>
        <v>200</v>
      </c>
      <c r="E102" s="67" t="n">
        <f aca="false">C102</f>
        <v>200</v>
      </c>
      <c r="F102" s="58" t="s">
        <v>100</v>
      </c>
      <c r="G102" s="87" t="s">
        <v>1342</v>
      </c>
    </row>
    <row r="103" customFormat="false" ht="29.85" hidden="false" customHeight="false" outlineLevel="0" collapsed="false">
      <c r="A103" s="5" t="s">
        <v>1343</v>
      </c>
      <c r="B103" s="61" t="s">
        <v>103</v>
      </c>
      <c r="C103" s="114" t="n">
        <f aca="false">C102/C101</f>
        <v>0.732600732600733</v>
      </c>
      <c r="D103" s="114" t="n">
        <f aca="false">D102/D101</f>
        <v>0.317460317460317</v>
      </c>
      <c r="E103" s="114" t="n">
        <f aca="false">E102/(E101*(1-B4_Disc))</f>
        <v>0.915750915750916</v>
      </c>
      <c r="F103" s="58" t="s">
        <v>104</v>
      </c>
      <c r="G103" s="93" t="s">
        <v>1344</v>
      </c>
    </row>
    <row r="104" customFormat="false" ht="26.85" hidden="false" customHeight="false" outlineLevel="0" collapsed="false">
      <c r="A104" s="5" t="s">
        <v>1345</v>
      </c>
      <c r="B104" s="61" t="s">
        <v>99</v>
      </c>
      <c r="C104" s="150" t="n">
        <v>0.995</v>
      </c>
      <c r="D104" s="109" t="n">
        <f aca="false">SRC_DEM_047</f>
        <v>0.9987</v>
      </c>
      <c r="E104" s="103" t="n">
        <f aca="false">C104</f>
        <v>0.995</v>
      </c>
      <c r="F104" s="58" t="s">
        <v>1346</v>
      </c>
      <c r="G104" s="93" t="s">
        <v>1347</v>
      </c>
    </row>
    <row r="105" customFormat="false" ht="26.85" hidden="false" customHeight="false" outlineLevel="0" collapsed="false">
      <c r="A105" s="5" t="s">
        <v>1348</v>
      </c>
      <c r="B105" s="61" t="s">
        <v>99</v>
      </c>
      <c r="C105" s="109" t="n">
        <f aca="false">SRC_DEM_048</f>
        <v>0.919</v>
      </c>
      <c r="D105" s="109" t="n">
        <f aca="false">SRC_DEM_046</f>
        <v>0.993</v>
      </c>
      <c r="E105" s="103" t="n">
        <f aca="false">C105</f>
        <v>0.919</v>
      </c>
      <c r="F105" s="58" t="s">
        <v>1349</v>
      </c>
      <c r="G105" s="93" t="s">
        <v>1350</v>
      </c>
    </row>
    <row r="106" customFormat="false" ht="15" hidden="false" customHeight="false" outlineLevel="0" collapsed="false">
      <c r="A106" s="5" t="s">
        <v>1351</v>
      </c>
      <c r="B106" s="61" t="s">
        <v>807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8" t="s">
        <v>147</v>
      </c>
      <c r="G106" s="87" t="s">
        <v>1352</v>
      </c>
    </row>
    <row r="107" customFormat="false" ht="29.85" hidden="false" customHeight="false" outlineLevel="0" collapsed="false">
      <c r="A107" s="5" t="s">
        <v>1353</v>
      </c>
      <c r="B107" s="61" t="s">
        <v>103</v>
      </c>
      <c r="C107" s="114" t="n">
        <f aca="false">C106/IF_PriceRef_Sol</f>
        <v>0.196163661504425</v>
      </c>
      <c r="D107" s="114" t="n">
        <f aca="false">D106/IF_PriceRef_Sol</f>
        <v>0.112163306415929</v>
      </c>
      <c r="E107" s="114" t="n">
        <f aca="false">E106/IF_PriceRef_Sol</f>
        <v>0.196163661504425</v>
      </c>
      <c r="F107" s="58" t="s">
        <v>147</v>
      </c>
      <c r="G107" s="87" t="s">
        <v>1354</v>
      </c>
    </row>
    <row r="108" customFormat="false" ht="15" hidden="false" customHeight="false" outlineLevel="0" collapsed="false">
      <c r="A108" s="10" t="s">
        <v>1355</v>
      </c>
    </row>
    <row r="109" customFormat="false" ht="39.55" hidden="false" customHeight="false" outlineLevel="0" collapsed="false">
      <c r="A109" s="5" t="s">
        <v>1356</v>
      </c>
      <c r="B109" s="61" t="s">
        <v>91</v>
      </c>
      <c r="C109" s="72" t="n">
        <f aca="false">AL_ServeGWSpend/AL_SpendBasis*AL_Kappa</f>
        <v>1.05658373061052</v>
      </c>
      <c r="D109" s="72" t="n">
        <f aca="false">AL_ServeGWSpend/AL_SpendBasis_Lo*AL_Kappa_Hi</f>
        <v>1.47632247290785</v>
      </c>
      <c r="E109" s="72" t="n">
        <f aca="false">AL_ServeGWSpend/AL_SpendBasis_Hi*AL_Kappa_Lo</f>
        <v>0.498942317232744</v>
      </c>
      <c r="F109" s="58" t="s">
        <v>1296</v>
      </c>
      <c r="G109" s="87" t="s">
        <v>1357</v>
      </c>
    </row>
    <row r="110" customFormat="false" ht="29.85" hidden="false" customHeight="false" outlineLevel="0" collapsed="false">
      <c r="A110" s="5" t="s">
        <v>1358</v>
      </c>
      <c r="B110" s="61" t="s">
        <v>1359</v>
      </c>
      <c r="C110" s="62" t="n">
        <f aca="false">AL_BlendPaid</f>
        <v>28641881857.3138</v>
      </c>
      <c r="D110" s="62" t="n">
        <f aca="false">AL_BlendPaid</f>
        <v>28641881857.3138</v>
      </c>
      <c r="E110" s="62" t="n">
        <f aca="false">AL_BlendPaid</f>
        <v>28641881857.3138</v>
      </c>
      <c r="F110" s="58" t="s">
        <v>147</v>
      </c>
      <c r="G110" s="87" t="s">
        <v>1360</v>
      </c>
    </row>
    <row r="111" customFormat="false" ht="29.85" hidden="false" customHeight="false" outlineLevel="0" collapsed="false">
      <c r="A111" s="5" t="s">
        <v>1361</v>
      </c>
      <c r="B111" s="61" t="s">
        <v>1359</v>
      </c>
      <c r="C111" s="62" t="n">
        <f aca="false">AL_BlendFree</f>
        <v>88207684100.2911</v>
      </c>
      <c r="D111" s="62" t="n">
        <f aca="false">AL_BlendFree</f>
        <v>88207684100.2911</v>
      </c>
      <c r="E111" s="62" t="n">
        <f aca="false">AL_BlendFree</f>
        <v>88207684100.2911</v>
      </c>
      <c r="F111" s="58" t="s">
        <v>147</v>
      </c>
      <c r="G111" s="87" t="s">
        <v>1362</v>
      </c>
    </row>
    <row r="112" customFormat="false" ht="26.85" hidden="false" customHeight="false" outlineLevel="0" collapsed="false">
      <c r="A112" s="5" t="s">
        <v>1363</v>
      </c>
      <c r="B112" s="61" t="s">
        <v>103</v>
      </c>
      <c r="C112" s="114" t="n">
        <f aca="false">AL_DFree/AL_DPaid</f>
        <v>0.572519083969466</v>
      </c>
      <c r="D112" s="114" t="n">
        <f aca="false">AL_DFree/AL_DPaid</f>
        <v>0.572519083969466</v>
      </c>
      <c r="E112" s="114" t="n">
        <f aca="false">AL_DFree/AL_DPaid</f>
        <v>0.572519083969466</v>
      </c>
      <c r="F112" s="58" t="s">
        <v>147</v>
      </c>
      <c r="G112" s="87" t="s">
        <v>1364</v>
      </c>
    </row>
    <row r="113" customFormat="false" ht="29.85" hidden="false" customHeight="false" outlineLevel="0" collapsed="false">
      <c r="A113" s="5" t="s">
        <v>1365</v>
      </c>
      <c r="B113" s="61" t="s">
        <v>103</v>
      </c>
      <c r="C113" s="114" t="n">
        <f aca="false">IF(AND(ISNUMBER(C110),ISNUMBER(C111)),IF_FreeShare*(C111/C110)/(1-IF_FreeShare),AL_UnavailTxt)</f>
        <v>2.62342675047411</v>
      </c>
      <c r="D113" s="114" t="n">
        <f aca="false">IF(AND(ISNUMBER(D110),ISNUMBER(D111)),IF_FreeShare*(D111/D110)/(1-IF_FreeShare),AL_UnavailTxt)</f>
        <v>2.62342675047411</v>
      </c>
      <c r="E113" s="114" t="n">
        <f aca="false">IF(AND(ISNUMBER(E110),ISNUMBER(E111)),IF_FreeShare*(E111/E110)/(1-IF_FreeShare),AL_UnavailTxt)</f>
        <v>2.62342675047411</v>
      </c>
      <c r="F113" s="58" t="s">
        <v>1366</v>
      </c>
      <c r="G113" s="93" t="s">
        <v>1367</v>
      </c>
    </row>
    <row r="114" customFormat="false" ht="39.55" hidden="false" customHeight="false" outlineLevel="0" collapsed="false">
      <c r="A114" s="5" t="s">
        <v>1368</v>
      </c>
      <c r="B114" s="61" t="s">
        <v>103</v>
      </c>
      <c r="C114" s="114" t="n">
        <f aca="false">(AL_UtilActual*CTL_ProdDerate)/IF_Util</f>
        <v>0.580833333333333</v>
      </c>
      <c r="D114" s="114" t="n">
        <f aca="false">(AL_UtilActual_Hi*CTL_ProdDerate)/IF_Util</f>
        <v>0.920833333333333</v>
      </c>
      <c r="E114" s="114" t="n">
        <f aca="false">(AL_UtilActual_Lo*CTL_ProdDerate)/IF_Util</f>
        <v>0.425</v>
      </c>
      <c r="F114" s="58" t="s">
        <v>1296</v>
      </c>
      <c r="G114" s="87" t="s">
        <v>1369</v>
      </c>
    </row>
    <row r="115" customFormat="false" ht="44" hidden="false" customHeight="false" outlineLevel="0" collapsed="false">
      <c r="A115" s="5" t="s">
        <v>1370</v>
      </c>
      <c r="B115" s="61" t="s">
        <v>103</v>
      </c>
      <c r="C115" s="117" t="n">
        <f aca="false">AL_ProdRatioPaid</f>
        <v>0.741551259257349</v>
      </c>
      <c r="D115" s="117" t="n">
        <f aca="false">AL_ProdRatioPaid</f>
        <v>0.741551259257349</v>
      </c>
      <c r="E115" s="117" t="n">
        <f aca="false">AL_ProdRatioPaid</f>
        <v>0.741551259257349</v>
      </c>
      <c r="F115" s="58" t="s">
        <v>147</v>
      </c>
      <c r="G115" s="93" t="s">
        <v>1371</v>
      </c>
    </row>
    <row r="116" customFormat="false" ht="29.85" hidden="false" customHeight="false" outlineLevel="0" collapsed="false">
      <c r="A116" s="5" t="s">
        <v>1372</v>
      </c>
      <c r="B116" s="61" t="s">
        <v>799</v>
      </c>
      <c r="C116" s="67" t="n">
        <f aca="false">IF(AND(ISNUMBER(C110),ISNUMBER(C111),ISNUMBER(C112)),C109*C114/(1/C110+C112/C111),AL_UnavailTxt)</f>
        <v>14822041893.6437</v>
      </c>
      <c r="D116" s="67" t="n">
        <f aca="false">IF(AND(ISNUMBER(D110),ISNUMBER(D111),ISNUMBER(D112)),D109*D114/(1/D110+D112/D111),AL_UnavailTxt)</f>
        <v>32833323673.5241</v>
      </c>
      <c r="E116" s="67" t="n">
        <f aca="false">IF(AND(ISNUMBER(E110),ISNUMBER(E111),ISNUMBER(E112)),E109*E114/(1/E110+E112/E111),AL_UnavailTxt)</f>
        <v>5121437239.67364</v>
      </c>
      <c r="F116" s="58" t="s">
        <v>147</v>
      </c>
      <c r="G116" s="87" t="s">
        <v>1373</v>
      </c>
    </row>
    <row r="117" customFormat="false" ht="15" hidden="false" customHeight="false" outlineLevel="0" collapsed="false">
      <c r="A117" s="5" t="s">
        <v>1374</v>
      </c>
      <c r="B117" s="61" t="s">
        <v>799</v>
      </c>
      <c r="C117" s="67" t="n">
        <f aca="false">IF(AND(ISNUMBER(C110),ISNUMBER(C111),ISNUMBER(C113)),C109*C114/(1/C110+C113/C111),AL_UnavailTxt)</f>
        <v>9491847673.50041</v>
      </c>
      <c r="D117" s="67" t="n">
        <f aca="false">IF(AND(ISNUMBER(D110),ISNUMBER(D111),ISNUMBER(D113)),D109*D114/(1/D110+D113/D111),AL_UnavailTxt)</f>
        <v>21026044128.0681</v>
      </c>
      <c r="E117" s="67" t="n">
        <f aca="false">IF(AND(ISNUMBER(E110),ISNUMBER(E111),ISNUMBER(E113)),E109*E114/(1/E110+E113/E111),AL_UnavailTxt)</f>
        <v>3279703464.42088</v>
      </c>
      <c r="F117" s="58" t="s">
        <v>147</v>
      </c>
      <c r="G117" s="93" t="s">
        <v>1375</v>
      </c>
    </row>
    <row r="118" customFormat="false" ht="41" hidden="false" customHeight="false" outlineLevel="0" collapsed="false">
      <c r="A118" s="5" t="s">
        <v>1376</v>
      </c>
      <c r="B118" s="61" t="s">
        <v>799</v>
      </c>
      <c r="C118" s="70" t="n">
        <f aca="false">IF(AND(ISNUMBER(C110),ISNUMBER(C111),ISNUMBER(C112),ISNUMBER(C115)),C109*C115/(1/C110+C112/C111),AL_UnavailTxt)</f>
        <v>18923335146.6226</v>
      </c>
      <c r="D118" s="67" t="n">
        <f aca="false">IF(AND(ISNUMBER(D110),ISNUMBER(D111),ISNUMBER(D112),ISNUMBER(D115)),D109*D115/(1/D110+D112/D111),AL_UnavailTxt)</f>
        <v>26440824451.4453</v>
      </c>
      <c r="E118" s="67" t="n">
        <f aca="false">IF(AND(ISNUMBER(E110),ISNUMBER(E111),ISNUMBER(E112),ISNUMBER(E115)),E109*E115/(1/E110+E112/E111),AL_UnavailTxt)</f>
        <v>8936019374.79403</v>
      </c>
      <c r="F118" s="58" t="s">
        <v>147</v>
      </c>
      <c r="G118" s="87" t="s">
        <v>1377</v>
      </c>
    </row>
    <row r="119" customFormat="false" ht="44" hidden="false" customHeight="false" outlineLevel="0" collapsed="false">
      <c r="A119" s="5" t="s">
        <v>1378</v>
      </c>
      <c r="B119" s="61" t="s">
        <v>103</v>
      </c>
      <c r="C119" s="106" t="n">
        <f aca="false">IF(ISNUMBER(C116),SRC_DEM_007*1000000000/(C116*AL_PriceFleet),AL_UnavailTxt)</f>
        <v>0.556531436733727</v>
      </c>
      <c r="D119" s="114" t="n">
        <f aca="false">IF(ISNUMBER(D116),SRC_DEM_007*1000000000/(D116*AL_PriceFleet),AL_UnavailTxt)</f>
        <v>0.251236589765316</v>
      </c>
      <c r="E119" s="114" t="n">
        <f aca="false">IF(ISNUMBER(E116),SRC_DEM_007*1000000000/(E116*AL_PriceFleet),AL_UnavailTxt)</f>
        <v>1.61066745219408</v>
      </c>
      <c r="F119" s="58" t="s">
        <v>147</v>
      </c>
      <c r="G119" s="93" t="s">
        <v>1379</v>
      </c>
    </row>
    <row r="120" customFormat="false" ht="15" hidden="false" customHeight="false" outlineLevel="0" collapsed="false">
      <c r="A120" s="5" t="s">
        <v>1380</v>
      </c>
      <c r="B120" s="61" t="s">
        <v>103</v>
      </c>
      <c r="C120" s="114" t="n">
        <f aca="false">IF(ISNUMBER(C117),SRC_DEM_007*1000000000/(C117*AL_PriceFleet),AL_UnavailTxt)</f>
        <v>0.869054430090213</v>
      </c>
      <c r="D120" s="114" t="n">
        <f aca="false">IF(ISNUMBER(D117),SRC_DEM_007*1000000000/(D117*AL_PriceFleet),AL_UnavailTxt)</f>
        <v>0.392319744986426</v>
      </c>
      <c r="E120" s="114" t="n">
        <f aca="false">IF(ISNUMBER(E117),SRC_DEM_007*1000000000/(E117*AL_PriceFleet),AL_UnavailTxt)</f>
        <v>2.51514576237873</v>
      </c>
      <c r="F120" s="58" t="s">
        <v>147</v>
      </c>
      <c r="G120" s="93"/>
    </row>
    <row r="121" customFormat="false" ht="44" hidden="false" customHeight="false" outlineLevel="0" collapsed="false">
      <c r="A121" s="6" t="s">
        <v>1381</v>
      </c>
      <c r="B121" s="61" t="s">
        <v>103</v>
      </c>
      <c r="C121" s="106" t="n">
        <f aca="false">IF(ISNUMBER(C118),SRC_DEM_007*1000000000/(C118*AL_PriceFleet),AL_UnavailTxt)</f>
        <v>0.435913236566507</v>
      </c>
      <c r="D121" s="114" t="n">
        <f aca="false">IF(ISNUMBER(D118),SRC_DEM_007*1000000000/(D118*AL_PriceFleet),AL_UnavailTxt)</f>
        <v>0.311977120287794</v>
      </c>
      <c r="E121" s="114" t="n">
        <f aca="false">IF(ISNUMBER(E118),SRC_DEM_007*1000000000/(E118*AL_PriceFleet),AL_UnavailTxt)</f>
        <v>0.923110383317309</v>
      </c>
      <c r="F121" s="58" t="s">
        <v>147</v>
      </c>
      <c r="G121" s="87" t="s">
        <v>1382</v>
      </c>
    </row>
    <row r="122" customFormat="false" ht="15" hidden="false" customHeight="false" outlineLevel="0" collapsed="false">
      <c r="A122" s="59" t="s">
        <v>1383</v>
      </c>
    </row>
    <row r="123" customFormat="false" ht="15" hidden="false" customHeight="false" outlineLevel="0" collapsed="false">
      <c r="A123" s="6" t="s">
        <v>1384</v>
      </c>
      <c r="B123" s="61" t="s">
        <v>799</v>
      </c>
      <c r="C123" s="67" t="n">
        <f aca="false">IF(ISNUMBER(AL_PriceFleet),SRC_DEM_007*1000000000/(1*AL_PriceFleet),AL_PriceFleet)</f>
        <v>8248932270.39702</v>
      </c>
      <c r="D123" s="76" t="n">
        <f aca="false">IF(ISNUMBER(C123),C123/AL_DPaid,C123)</f>
        <v>2.15647084345839</v>
      </c>
      <c r="E123" s="67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8" t="s">
        <v>147</v>
      </c>
      <c r="G123" s="87" t="s">
        <v>1385</v>
      </c>
    </row>
    <row r="124" customFormat="false" ht="15" hidden="false" customHeight="false" outlineLevel="0" collapsed="false">
      <c r="A124" s="6" t="s">
        <v>1386</v>
      </c>
      <c r="B124" s="61" t="s">
        <v>799</v>
      </c>
      <c r="C124" s="67" t="n">
        <f aca="false">IF(ISNUMBER(AL_PriceFleet),SRC_DEM_007*1000000000/(0.6*AL_PriceFleet),AL_PriceFleet)</f>
        <v>13748220450.6617</v>
      </c>
      <c r="D124" s="76" t="n">
        <f aca="false">IF(ISNUMBER(C124),C124/AL_DPaid,C124)</f>
        <v>3.59411807243064</v>
      </c>
      <c r="E124" s="67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8" t="s">
        <v>147</v>
      </c>
      <c r="G124" s="87" t="s">
        <v>1385</v>
      </c>
    </row>
    <row r="125" customFormat="false" ht="15" hidden="false" customHeight="false" outlineLevel="0" collapsed="false">
      <c r="A125" s="6" t="s">
        <v>1387</v>
      </c>
      <c r="B125" s="61" t="s">
        <v>799</v>
      </c>
      <c r="C125" s="67" t="n">
        <f aca="false">IF(ISNUMBER(AL_PriceFleet),SRC_DEM_007*1000000000/(0.3*AL_PriceFleet),AL_PriceFleet)</f>
        <v>27496440901.3234</v>
      </c>
      <c r="D125" s="76" t="n">
        <f aca="false">IF(ISNUMBER(C125),C125/AL_DPaid,C125)</f>
        <v>7.18823614486129</v>
      </c>
      <c r="E125" s="67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8" t="s">
        <v>147</v>
      </c>
      <c r="G125" s="87" t="s">
        <v>1385</v>
      </c>
    </row>
    <row r="126" customFormat="false" ht="15" hidden="false" customHeight="false" outlineLevel="0" collapsed="false">
      <c r="A126" s="59" t="s">
        <v>1388</v>
      </c>
    </row>
    <row r="127" customFormat="false" ht="39.55" hidden="false" customHeight="false" outlineLevel="0" collapsed="false">
      <c r="A127" s="5" t="s">
        <v>1389</v>
      </c>
      <c r="B127" s="61" t="s">
        <v>99</v>
      </c>
      <c r="C127" s="150" t="n">
        <v>0.1</v>
      </c>
      <c r="D127" s="150" t="n">
        <v>0.2</v>
      </c>
      <c r="E127" s="150" t="n">
        <v>0.05</v>
      </c>
      <c r="F127" s="58" t="s">
        <v>100</v>
      </c>
      <c r="G127" s="93" t="s">
        <v>1390</v>
      </c>
    </row>
    <row r="128" customFormat="false" ht="15" hidden="false" customHeight="false" outlineLevel="0" collapsed="false">
      <c r="A128" s="5" t="s">
        <v>1391</v>
      </c>
      <c r="B128" s="61" t="s">
        <v>103</v>
      </c>
      <c r="C128" s="114" t="n">
        <f aca="false">C72*(1-C127)*1000000000/(C81*C90)</f>
        <v>2.87645475283641</v>
      </c>
      <c r="D128" s="114" t="n">
        <f aca="false">D72*(1-D127)*1000000000/(D81*D90)</f>
        <v>0.541997684224561</v>
      </c>
      <c r="E128" s="114" t="n">
        <f aca="false">E72*(1-E127)*1000000000/(E81*E90)</f>
        <v>14.2270365235528</v>
      </c>
      <c r="F128" s="58" t="s">
        <v>147</v>
      </c>
      <c r="G128" s="87" t="s">
        <v>1392</v>
      </c>
    </row>
    <row r="129" customFormat="false" ht="15" hidden="false" customHeight="false" outlineLevel="0" collapsed="false">
      <c r="A129" s="5" t="s">
        <v>1393</v>
      </c>
      <c r="B129" s="61" t="s">
        <v>103</v>
      </c>
      <c r="C129" s="114" t="n">
        <f aca="false">(C72*(1-C127)+C73)*1000000000/(C83*C90)</f>
        <v>1.62068515699616</v>
      </c>
      <c r="D129" s="114" t="n">
        <f aca="false">(D72*(1-D127)+D73)*1000000000/(D83*D90)</f>
        <v>0.503803701190053</v>
      </c>
      <c r="E129" s="114" t="n">
        <f aca="false">(E72*(1-E127)+E73)*1000000000/(E83*E90)</f>
        <v>3.44623852948495</v>
      </c>
      <c r="F129" s="58" t="s">
        <v>147</v>
      </c>
      <c r="G129" s="87" t="s">
        <v>1394</v>
      </c>
    </row>
    <row r="130" customFormat="false" ht="15" hidden="false" customHeight="false" outlineLevel="0" collapsed="false">
      <c r="A130" s="10" t="s">
        <v>1395</v>
      </c>
    </row>
    <row r="131" customFormat="false" ht="39.55" hidden="false" customHeight="false" outlineLevel="0" collapsed="false">
      <c r="A131" s="6" t="s">
        <v>1396</v>
      </c>
      <c r="B131" s="61" t="s">
        <v>99</v>
      </c>
      <c r="C131" s="150" t="n">
        <v>0.1</v>
      </c>
      <c r="D131" s="150" t="n">
        <v>0.05</v>
      </c>
      <c r="E131" s="150" t="n">
        <v>0.15</v>
      </c>
      <c r="F131" s="58" t="s">
        <v>100</v>
      </c>
      <c r="G131" s="93" t="s">
        <v>1397</v>
      </c>
    </row>
    <row r="132" customFormat="false" ht="29.85" hidden="false" customHeight="false" outlineLevel="0" collapsed="false">
      <c r="A132" s="5" t="s">
        <v>1398</v>
      </c>
      <c r="B132" s="61" t="s">
        <v>99</v>
      </c>
      <c r="C132" s="150" t="n">
        <v>0.75</v>
      </c>
      <c r="D132" s="150" t="n">
        <v>0.9</v>
      </c>
      <c r="E132" s="150" t="n">
        <v>0.6</v>
      </c>
      <c r="F132" s="58" t="s">
        <v>100</v>
      </c>
      <c r="G132" s="93" t="s">
        <v>1399</v>
      </c>
    </row>
    <row r="133" customFormat="false" ht="29.85" hidden="false" customHeight="false" outlineLevel="0" collapsed="false">
      <c r="A133" s="6" t="s">
        <v>1400</v>
      </c>
      <c r="B133" s="61" t="s">
        <v>879</v>
      </c>
      <c r="C133" s="149" t="n">
        <v>0.5</v>
      </c>
      <c r="D133" s="149" t="n">
        <v>0</v>
      </c>
      <c r="E133" s="149" t="n">
        <v>1</v>
      </c>
      <c r="F133" s="58" t="s">
        <v>100</v>
      </c>
      <c r="G133" s="93" t="s">
        <v>1401</v>
      </c>
    </row>
    <row r="134" customFormat="false" ht="15" hidden="false" customHeight="false" outlineLevel="0" collapsed="false">
      <c r="A134" s="10" t="s">
        <v>1402</v>
      </c>
    </row>
    <row r="135" customFormat="false" ht="15" hidden="false" customHeight="false" outlineLevel="0" collapsed="false">
      <c r="A135" s="5" t="s">
        <v>1403</v>
      </c>
      <c r="B135" s="61" t="s">
        <v>879</v>
      </c>
      <c r="C135" s="115" t="n">
        <f aca="false">C69*C70</f>
        <v>9.149</v>
      </c>
      <c r="D135" s="115" t="n">
        <f aca="false">D69*D70</f>
        <v>8</v>
      </c>
      <c r="E135" s="115" t="n">
        <f aca="false">E69*E70</f>
        <v>10.7174</v>
      </c>
      <c r="F135" s="58" t="s">
        <v>147</v>
      </c>
      <c r="G135" s="93" t="s">
        <v>1404</v>
      </c>
    </row>
    <row r="136" customFormat="false" ht="15" hidden="false" customHeight="false" outlineLevel="0" collapsed="false">
      <c r="A136" s="5" t="s">
        <v>1405</v>
      </c>
      <c r="B136" s="61" t="s">
        <v>879</v>
      </c>
      <c r="C136" s="115" t="n">
        <f aca="false">C69*C131</f>
        <v>1.307</v>
      </c>
      <c r="D136" s="115" t="n">
        <f aca="false">D69*D131</f>
        <v>0.6535</v>
      </c>
      <c r="E136" s="115" t="n">
        <f aca="false">E69*E131</f>
        <v>1.9605</v>
      </c>
      <c r="F136" s="58" t="s">
        <v>147</v>
      </c>
      <c r="G136" s="93"/>
    </row>
    <row r="137" customFormat="false" ht="26.85" hidden="false" customHeight="false" outlineLevel="0" collapsed="false">
      <c r="A137" s="6" t="s">
        <v>1406</v>
      </c>
      <c r="B137" s="61" t="s">
        <v>879</v>
      </c>
      <c r="C137" s="115" t="n">
        <f aca="false">C69-C135-C136</f>
        <v>2.614</v>
      </c>
      <c r="D137" s="115" t="n">
        <f aca="false">D69-D135-D136</f>
        <v>4.4165</v>
      </c>
      <c r="E137" s="115" t="n">
        <f aca="false">E69-E135-E136</f>
        <v>0.392100000000001</v>
      </c>
      <c r="F137" s="58" t="s">
        <v>147</v>
      </c>
      <c r="G137" s="93" t="s">
        <v>1407</v>
      </c>
    </row>
    <row r="138" customFormat="false" ht="15" hidden="false" customHeight="false" outlineLevel="0" collapsed="false">
      <c r="A138" s="6" t="s">
        <v>1408</v>
      </c>
      <c r="B138" s="61" t="s">
        <v>99</v>
      </c>
      <c r="C138" s="103" t="n">
        <f aca="false">C137/C69</f>
        <v>0.2</v>
      </c>
      <c r="D138" s="103" t="n">
        <f aca="false">D137/D69</f>
        <v>0.337911247130834</v>
      </c>
      <c r="E138" s="103" t="n">
        <f aca="false">E137/E69</f>
        <v>0.0300000000000001</v>
      </c>
      <c r="F138" s="58" t="s">
        <v>147</v>
      </c>
      <c r="G138" s="93" t="s">
        <v>1409</v>
      </c>
    </row>
    <row r="139" customFormat="false" ht="15" hidden="false" customHeight="false" outlineLevel="0" collapsed="false">
      <c r="A139" s="10" t="s">
        <v>1410</v>
      </c>
    </row>
    <row r="140" customFormat="false" ht="15" hidden="false" customHeight="false" outlineLevel="0" collapsed="false">
      <c r="A140" s="6" t="s">
        <v>1411</v>
      </c>
      <c r="B140" s="61" t="s">
        <v>799</v>
      </c>
      <c r="C140" s="67" t="n">
        <f aca="false">C82</f>
        <v>2365200000</v>
      </c>
      <c r="D140" s="67" t="n">
        <f aca="false">D82</f>
        <v>2838240000</v>
      </c>
      <c r="E140" s="67" t="n">
        <f aca="false">E82</f>
        <v>1892160000</v>
      </c>
      <c r="F140" s="58" t="s">
        <v>1296</v>
      </c>
      <c r="G140" s="87" t="s">
        <v>1412</v>
      </c>
    </row>
    <row r="141" customFormat="false" ht="29.85" hidden="false" customHeight="false" outlineLevel="0" collapsed="false">
      <c r="A141" s="5" t="s">
        <v>1413</v>
      </c>
      <c r="B141" s="61" t="s">
        <v>799</v>
      </c>
      <c r="C141" s="67" t="n">
        <f aca="false">C81*C132</f>
        <v>1095000000</v>
      </c>
      <c r="D141" s="67" t="n">
        <f aca="false">D81*D132</f>
        <v>5420250000</v>
      </c>
      <c r="E141" s="67" t="n">
        <f aca="false">E81*E132</f>
        <v>219000000</v>
      </c>
      <c r="F141" s="58" t="s">
        <v>1296</v>
      </c>
      <c r="G141" s="93"/>
    </row>
    <row r="142" customFormat="false" ht="29.85" hidden="false" customHeight="false" outlineLevel="0" collapsed="false">
      <c r="A142" s="5" t="s">
        <v>1414</v>
      </c>
      <c r="B142" s="61" t="s">
        <v>799</v>
      </c>
      <c r="C142" s="67" t="n">
        <f aca="false">C81*(1-C132)</f>
        <v>365000000</v>
      </c>
      <c r="D142" s="67" t="n">
        <f aca="false">D81*(1-D132)</f>
        <v>602250000</v>
      </c>
      <c r="E142" s="67" t="n">
        <f aca="false">E81*(1-E132)</f>
        <v>146000000</v>
      </c>
      <c r="F142" s="58" t="s">
        <v>1296</v>
      </c>
      <c r="G142" s="93"/>
    </row>
    <row r="143" customFormat="false" ht="15" hidden="false" customHeight="false" outlineLevel="0" collapsed="false">
      <c r="A143" s="10" t="s">
        <v>1415</v>
      </c>
    </row>
    <row r="144" customFormat="false" ht="15" hidden="false" customHeight="false" outlineLevel="0" collapsed="false">
      <c r="A144" s="6" t="s">
        <v>1416</v>
      </c>
      <c r="B144" s="61" t="s">
        <v>103</v>
      </c>
      <c r="C144" s="106" t="n">
        <f aca="false">C137*1000000000/(C140*C90)</f>
        <v>0.56367915987388</v>
      </c>
      <c r="D144" s="114" t="n">
        <f aca="false">D137*1000000000/(D140*D90)</f>
        <v>0.793639699561015</v>
      </c>
      <c r="E144" s="114" t="n">
        <f aca="false">E137*1000000000/(E140*E90)</f>
        <v>0.105689842476353</v>
      </c>
      <c r="F144" s="58" t="s">
        <v>147</v>
      </c>
      <c r="G144" s="93" t="s">
        <v>1417</v>
      </c>
    </row>
    <row r="145" customFormat="false" ht="15" hidden="false" customHeight="false" outlineLevel="0" collapsed="false">
      <c r="A145" s="6" t="s">
        <v>1418</v>
      </c>
      <c r="B145" s="61" t="s">
        <v>103</v>
      </c>
      <c r="C145" s="106" t="n">
        <f aca="false">C135*1000000000/(C141*C90)</f>
        <v>4.26141444864653</v>
      </c>
      <c r="D145" s="114" t="n">
        <f aca="false">D135*1000000000/(D141*D90)</f>
        <v>0.752774561423002</v>
      </c>
      <c r="E145" s="114" t="n">
        <f aca="false">E135*1000000000/(E141*E90)</f>
        <v>24.9597131992154</v>
      </c>
      <c r="F145" s="58" t="s">
        <v>147</v>
      </c>
      <c r="G145" s="87" t="s">
        <v>1419</v>
      </c>
    </row>
    <row r="146" customFormat="false" ht="15" hidden="false" customHeight="false" outlineLevel="0" collapsed="false">
      <c r="A146" s="6" t="s">
        <v>1420</v>
      </c>
      <c r="B146" s="61" t="s">
        <v>103</v>
      </c>
      <c r="C146" s="106" t="n">
        <f aca="false">C136*1000000000/(C142*C90)</f>
        <v>1.82632047799137</v>
      </c>
      <c r="D146" s="114" t="n">
        <f aca="false">D136*1000000000/(D142*D90)</f>
        <v>0.553430447876173</v>
      </c>
      <c r="E146" s="114" t="n">
        <f aca="false">E136*1000000000/(E142*E90)</f>
        <v>6.84870179246764</v>
      </c>
      <c r="F146" s="58" t="s">
        <v>147</v>
      </c>
      <c r="G146" s="93" t="s">
        <v>1421</v>
      </c>
    </row>
    <row r="147" customFormat="false" ht="15" hidden="false" customHeight="false" outlineLevel="0" collapsed="false">
      <c r="A147" s="6" t="s">
        <v>1422</v>
      </c>
      <c r="B147" s="61" t="s">
        <v>103</v>
      </c>
      <c r="C147" s="106" t="n">
        <f aca="false">(C135+C136+C137)*1000000000/((C140+C141+C142)*C90)</f>
        <v>1.74267221182383</v>
      </c>
      <c r="D147" s="114" t="n">
        <f aca="false">(D135+D136+D137)*1000000000/((D140+D141+D142)*D90)</f>
        <v>0.752315240563261</v>
      </c>
      <c r="E147" s="114" t="n">
        <f aca="false">(E135+E136+E137)*1000000000/((E140+E141+E142)*E90)</f>
        <v>2.95329960865358</v>
      </c>
      <c r="F147" s="58" t="s">
        <v>147</v>
      </c>
      <c r="G147" s="93" t="s">
        <v>1423</v>
      </c>
    </row>
    <row r="148" customFormat="false" ht="29.85" hidden="false" customHeight="false" outlineLevel="0" collapsed="false">
      <c r="A148" s="5" t="s">
        <v>1424</v>
      </c>
      <c r="B148" s="61" t="s">
        <v>103</v>
      </c>
      <c r="C148" s="114" t="n">
        <f aca="false">ABS(C147-C94)</f>
        <v>0</v>
      </c>
      <c r="D148" s="114" t="n">
        <f aca="false">ABS(D147-D94)</f>
        <v>0</v>
      </c>
      <c r="E148" s="114" t="n">
        <f aca="false">ABS(E147-E94)</f>
        <v>0</v>
      </c>
      <c r="F148" s="58" t="s">
        <v>147</v>
      </c>
      <c r="G148" s="93" t="s">
        <v>1425</v>
      </c>
    </row>
    <row r="149" customFormat="false" ht="15" hidden="false" customHeight="false" outlineLevel="0" collapsed="false">
      <c r="A149" s="10" t="s">
        <v>1426</v>
      </c>
    </row>
    <row r="150" customFormat="false" ht="26.85" hidden="false" customHeight="false" outlineLevel="0" collapsed="false">
      <c r="A150" s="5" t="s">
        <v>1427</v>
      </c>
      <c r="B150" s="61" t="s">
        <v>103</v>
      </c>
      <c r="C150" s="114" t="n">
        <f aca="false">(1-B4_Disc)/(1-B4_Disc)</f>
        <v>1</v>
      </c>
      <c r="D150" s="114" t="n">
        <f aca="false">(1-B4_Disc_Hi)/(1-B4_Disc)</f>
        <v>0.75</v>
      </c>
      <c r="E150" s="114" t="n">
        <f aca="false">(1-B4_Disc_Lo)/(1-B4_Disc)</f>
        <v>1.125</v>
      </c>
      <c r="F150" s="58" t="s">
        <v>1296</v>
      </c>
      <c r="G150" s="93" t="s">
        <v>1428</v>
      </c>
    </row>
    <row r="151" customFormat="false" ht="26.85" hidden="false" customHeight="false" outlineLevel="0" collapsed="false">
      <c r="A151" s="5" t="s">
        <v>1429</v>
      </c>
      <c r="B151" s="61" t="s">
        <v>103</v>
      </c>
      <c r="C151" s="106" t="n">
        <f aca="false">C144/C150</f>
        <v>0.56367915987388</v>
      </c>
      <c r="D151" s="114" t="n">
        <f aca="false">D144/D150</f>
        <v>1.05818626608135</v>
      </c>
      <c r="E151" s="114" t="n">
        <f aca="false">E144/E150</f>
        <v>0.0939465266456468</v>
      </c>
      <c r="F151" s="58" t="s">
        <v>147</v>
      </c>
      <c r="G151" s="87" t="s">
        <v>1430</v>
      </c>
    </row>
    <row r="152" customFormat="false" ht="29.85" hidden="false" customHeight="false" outlineLevel="0" collapsed="false">
      <c r="A152" s="5" t="s">
        <v>1431</v>
      </c>
      <c r="B152" s="61" t="s">
        <v>103</v>
      </c>
      <c r="C152" s="114" t="n">
        <f aca="false">C107</f>
        <v>0.196163661504425</v>
      </c>
      <c r="D152" s="114" t="n">
        <f aca="false">D107</f>
        <v>0.112163306415929</v>
      </c>
      <c r="E152" s="114" t="n">
        <f aca="false">E107</f>
        <v>0.196163661504425</v>
      </c>
      <c r="F152" s="58" t="s">
        <v>147</v>
      </c>
      <c r="G152" s="87" t="s">
        <v>1432</v>
      </c>
    </row>
    <row r="153" customFormat="false" ht="15" hidden="false" customHeight="false" outlineLevel="0" collapsed="false">
      <c r="A153" s="10" t="s">
        <v>1433</v>
      </c>
    </row>
    <row r="154" customFormat="false" ht="15" hidden="false" customHeight="false" outlineLevel="0" collapsed="false">
      <c r="A154" s="5" t="s">
        <v>1434</v>
      </c>
      <c r="B154" s="61" t="s">
        <v>1341</v>
      </c>
      <c r="C154" s="63" t="n">
        <v>20</v>
      </c>
      <c r="D154" s="67" t="n">
        <f aca="false">C154</f>
        <v>20</v>
      </c>
      <c r="E154" s="67" t="n">
        <f aca="false">C154</f>
        <v>20</v>
      </c>
      <c r="F154" s="58" t="s">
        <v>100</v>
      </c>
      <c r="G154" s="93" t="s">
        <v>1435</v>
      </c>
    </row>
    <row r="155" customFormat="false" ht="29.85" hidden="false" customHeight="false" outlineLevel="0" collapsed="false">
      <c r="A155" s="5" t="s">
        <v>1436</v>
      </c>
      <c r="B155" s="61" t="s">
        <v>1341</v>
      </c>
      <c r="C155" s="63" t="n">
        <v>700</v>
      </c>
      <c r="D155" s="67" t="n">
        <f aca="false">C155</f>
        <v>700</v>
      </c>
      <c r="E155" s="67" t="n">
        <f aca="false">C155</f>
        <v>700</v>
      </c>
      <c r="F155" s="58" t="s">
        <v>100</v>
      </c>
      <c r="G155" s="93" t="s">
        <v>1437</v>
      </c>
    </row>
    <row r="156" customFormat="false" ht="15" hidden="false" customHeight="false" outlineLevel="0" collapsed="false">
      <c r="A156" s="5" t="s">
        <v>1438</v>
      </c>
      <c r="B156" s="61" t="s">
        <v>1341</v>
      </c>
      <c r="C156" s="63" t="n">
        <v>200</v>
      </c>
      <c r="D156" s="67" t="n">
        <f aca="false">C156</f>
        <v>200</v>
      </c>
      <c r="E156" s="67" t="n">
        <f aca="false">C156</f>
        <v>200</v>
      </c>
      <c r="F156" s="58" t="s">
        <v>100</v>
      </c>
      <c r="G156" s="93" t="s">
        <v>1439</v>
      </c>
    </row>
    <row r="157" customFormat="false" ht="29.85" hidden="false" customHeight="false" outlineLevel="0" collapsed="false">
      <c r="A157" s="5" t="s">
        <v>1440</v>
      </c>
      <c r="B157" s="61" t="s">
        <v>1341</v>
      </c>
      <c r="C157" s="63" t="n">
        <v>14000</v>
      </c>
      <c r="D157" s="67" t="n">
        <f aca="false">C157</f>
        <v>14000</v>
      </c>
      <c r="E157" s="67" t="n">
        <f aca="false">C157</f>
        <v>14000</v>
      </c>
      <c r="F157" s="58" t="s">
        <v>100</v>
      </c>
      <c r="G157" s="93" t="s">
        <v>1441</v>
      </c>
    </row>
    <row r="158" customFormat="false" ht="29.85" hidden="false" customHeight="false" outlineLevel="0" collapsed="false">
      <c r="A158" s="5" t="s">
        <v>1442</v>
      </c>
      <c r="B158" s="61" t="s">
        <v>103</v>
      </c>
      <c r="C158" s="114" t="n">
        <f aca="false">C154/C155</f>
        <v>0.0285714285714286</v>
      </c>
      <c r="D158" s="114" t="n">
        <f aca="false">D154/D155</f>
        <v>0.0285714285714286</v>
      </c>
      <c r="E158" s="114" t="n">
        <f aca="false">E154/E155</f>
        <v>0.0285714285714286</v>
      </c>
      <c r="F158" s="58" t="s">
        <v>104</v>
      </c>
      <c r="G158" s="87" t="s">
        <v>1443</v>
      </c>
    </row>
    <row r="159" customFormat="false" ht="29.85" hidden="false" customHeight="false" outlineLevel="0" collapsed="false">
      <c r="A159" s="5" t="s">
        <v>1444</v>
      </c>
      <c r="B159" s="61" t="s">
        <v>103</v>
      </c>
      <c r="C159" s="114" t="n">
        <f aca="false">C156/C157</f>
        <v>0.0142857142857143</v>
      </c>
      <c r="D159" s="114" t="n">
        <f aca="false">D156/D157</f>
        <v>0.0142857142857143</v>
      </c>
      <c r="E159" s="114" t="n">
        <f aca="false">E156/E157</f>
        <v>0.0142857142857143</v>
      </c>
      <c r="F159" s="58" t="s">
        <v>104</v>
      </c>
      <c r="G159" s="87" t="s">
        <v>1445</v>
      </c>
    </row>
    <row r="160" customFormat="false" ht="15" hidden="false" customHeight="false" outlineLevel="0" collapsed="false">
      <c r="A160" s="10" t="s">
        <v>1446</v>
      </c>
    </row>
    <row r="161" customFormat="false" ht="29.85" hidden="false" customHeight="false" outlineLevel="0" collapsed="false">
      <c r="A161" s="5" t="s">
        <v>1447</v>
      </c>
      <c r="B161" s="61" t="s">
        <v>1448</v>
      </c>
      <c r="C161" s="67" t="n">
        <f aca="false">C135*1000000000/(C79*1000000)</f>
        <v>279.358778625954</v>
      </c>
      <c r="D161" s="67" t="n">
        <f aca="false">D135*1000000000/(D79*1000000)</f>
        <v>244.274809160305</v>
      </c>
      <c r="E161" s="67" t="n">
        <f aca="false">E135*1000000000/(E79*1000000)</f>
        <v>327.248854961832</v>
      </c>
      <c r="F161" s="58" t="s">
        <v>147</v>
      </c>
      <c r="G161" s="93" t="s">
        <v>1449</v>
      </c>
    </row>
    <row r="162" customFormat="false" ht="15" hidden="false" customHeight="false" outlineLevel="0" collapsed="false">
      <c r="A162" s="6" t="s">
        <v>1450</v>
      </c>
      <c r="B162" s="61" t="s">
        <v>1303</v>
      </c>
      <c r="C162" s="74" t="n">
        <f aca="false">C161/C90</f>
        <v>142.480880038716</v>
      </c>
      <c r="D162" s="74" t="n">
        <f aca="false">D161/D90</f>
        <v>124.587063100856</v>
      </c>
      <c r="E162" s="74" t="n">
        <f aca="false">E161/E90</f>
        <v>166.906173759639</v>
      </c>
      <c r="F162" s="58" t="s">
        <v>147</v>
      </c>
      <c r="G162" s="87" t="s">
        <v>1451</v>
      </c>
    </row>
    <row r="163" customFormat="false" ht="29.85" hidden="false" customHeight="false" outlineLevel="0" collapsed="false">
      <c r="A163" s="5" t="s">
        <v>1452</v>
      </c>
      <c r="B163" s="61" t="s">
        <v>1303</v>
      </c>
      <c r="C163" s="74" t="n">
        <f aca="false">C155*12/C90</f>
        <v>4284.23763238068</v>
      </c>
      <c r="D163" s="74" t="n">
        <f aca="false">D155*12/D90</f>
        <v>4284.23763238068</v>
      </c>
      <c r="E163" s="74" t="n">
        <f aca="false">E155*12/E90</f>
        <v>4284.23763238068</v>
      </c>
      <c r="F163" s="58" t="s">
        <v>104</v>
      </c>
      <c r="G163" s="87" t="s">
        <v>1453</v>
      </c>
    </row>
    <row r="164" customFormat="false" ht="29.85" hidden="false" customHeight="false" outlineLevel="0" collapsed="false">
      <c r="A164" s="5" t="s">
        <v>1454</v>
      </c>
      <c r="B164" s="61" t="s">
        <v>1303</v>
      </c>
      <c r="C164" s="74" t="n">
        <f aca="false">C84</f>
        <v>44.5801526717557</v>
      </c>
      <c r="D164" s="74" t="n">
        <f aca="false">D84</f>
        <v>183.893129770992</v>
      </c>
      <c r="E164" s="74" t="n">
        <f aca="false">E84</f>
        <v>11.1450381679389</v>
      </c>
      <c r="F164" s="58" t="s">
        <v>147</v>
      </c>
      <c r="G164" s="93" t="s">
        <v>1455</v>
      </c>
    </row>
    <row r="165" customFormat="false" ht="15" hidden="false" customHeight="false" outlineLevel="0" collapsed="false">
      <c r="A165" s="5" t="s">
        <v>1456</v>
      </c>
      <c r="B165" s="61" t="s">
        <v>103</v>
      </c>
      <c r="C165" s="114" t="str">
        <f aca="false">"所需＝現值 × "&amp;TEXT(C162/C164,"0.00")&amp;"；＝Plus 上限 × "&amp;TEXT(C162/C163,"0.00")</f>
        <v>所需＝現值 × 3.20；＝Plus 上限 × 0.03</v>
      </c>
      <c r="D165" s="114" t="str">
        <f aca="false">"所需＝現值 × "&amp;TEXT(D162/D164,"0.00")&amp;"；＝Plus 上限 × "&amp;TEXT(D162/D163,"0.00")</f>
        <v>所需＝現值 × 0.68；＝Plus 上限 × 0.03</v>
      </c>
      <c r="E165" s="114" t="str">
        <f aca="false">"所需＝現值 × "&amp;TEXT(E162/E164,"0.00")&amp;"；＝Plus 上限 × "&amp;TEXT(E162/E163,"0.00")</f>
        <v>所需＝現值 × 14.98；＝Plus 上限 × 0.04</v>
      </c>
      <c r="F165" s="58" t="s">
        <v>147</v>
      </c>
      <c r="G165" s="93" t="s">
        <v>1457</v>
      </c>
    </row>
    <row r="166" customFormat="false" ht="15" hidden="false" customHeight="false" outlineLevel="0" collapsed="false">
      <c r="A166" s="10" t="s">
        <v>1458</v>
      </c>
    </row>
    <row r="167" customFormat="false" ht="29.85" hidden="false" customHeight="false" outlineLevel="0" collapsed="false">
      <c r="A167" s="6" t="s">
        <v>1459</v>
      </c>
      <c r="B167" s="61" t="s">
        <v>99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8" t="s">
        <v>1460</v>
      </c>
      <c r="G167" s="87" t="s">
        <v>1461</v>
      </c>
    </row>
    <row r="168" customFormat="false" ht="26.85" hidden="false" customHeight="false" outlineLevel="0" collapsed="false">
      <c r="A168" s="6" t="s">
        <v>1462</v>
      </c>
      <c r="B168" s="61" t="s">
        <v>99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8" t="s">
        <v>1460</v>
      </c>
      <c r="G168" s="87" t="s">
        <v>1463</v>
      </c>
    </row>
    <row r="169" customFormat="false" ht="26.85" hidden="false" customHeight="false" outlineLevel="0" collapsed="false">
      <c r="A169" s="6" t="s">
        <v>1464</v>
      </c>
      <c r="B169" s="61" t="s">
        <v>103</v>
      </c>
      <c r="C169" s="114" t="str">
        <f aca="false">"缺分母（需 Anthropic 年 API token）"</f>
        <v>缺分母（需 Anthropic 年 API token）</v>
      </c>
      <c r="D169" s="114" t="str">
        <f aca="false">"缺分母（需 Anthropic 年 API token）"</f>
        <v>缺分母（需 Anthropic 年 API token）</v>
      </c>
      <c r="E169" s="114" t="str">
        <f aca="false">"缺分母（需 Anthropic 年 API token）"</f>
        <v>缺分母（需 Anthropic 年 API token）</v>
      </c>
      <c r="F169" s="73" t="s">
        <v>1465</v>
      </c>
      <c r="G169" s="93" t="s">
        <v>1466</v>
      </c>
    </row>
    <row r="170" customFormat="false" ht="15" hidden="false" customHeight="false" outlineLevel="0" collapsed="false">
      <c r="A170" s="10" t="s">
        <v>1467</v>
      </c>
    </row>
    <row r="171" customFormat="false" ht="15" hidden="false" customHeight="false" outlineLevel="0" collapsed="false">
      <c r="A171" s="5" t="s">
        <v>1468</v>
      </c>
      <c r="B171" s="61" t="s">
        <v>799</v>
      </c>
      <c r="C171" s="67" t="n">
        <f aca="false">C83</f>
        <v>3825200000</v>
      </c>
      <c r="D171" s="67" t="n">
        <f aca="false">D83</f>
        <v>8860740000</v>
      </c>
      <c r="E171" s="67" t="n">
        <f aca="false">E83</f>
        <v>2257160000</v>
      </c>
      <c r="F171" s="58" t="s">
        <v>1296</v>
      </c>
      <c r="G171" s="87" t="s">
        <v>1469</v>
      </c>
    </row>
    <row r="172" customFormat="false" ht="15" hidden="false" customHeight="false" outlineLevel="0" collapsed="false">
      <c r="A172" s="5" t="s">
        <v>1470</v>
      </c>
      <c r="B172" s="61" t="s">
        <v>799</v>
      </c>
      <c r="C172" s="67" t="n">
        <f aca="false">C116</f>
        <v>14822041893.6437</v>
      </c>
      <c r="D172" s="67" t="n">
        <f aca="false">D116</f>
        <v>32833323673.5241</v>
      </c>
      <c r="E172" s="67" t="n">
        <f aca="false">E116</f>
        <v>5121437239.67364</v>
      </c>
      <c r="F172" s="58" t="s">
        <v>147</v>
      </c>
      <c r="G172" s="87" t="s">
        <v>1471</v>
      </c>
    </row>
    <row r="173" customFormat="false" ht="29.85" hidden="false" customHeight="false" outlineLevel="0" collapsed="false">
      <c r="A173" s="5" t="s">
        <v>1472</v>
      </c>
      <c r="B173" s="61" t="s">
        <v>799</v>
      </c>
      <c r="C173" s="67" t="n">
        <f aca="false">C118</f>
        <v>18923335146.6226</v>
      </c>
      <c r="D173" s="67" t="n">
        <f aca="false">D118</f>
        <v>26440824451.4453</v>
      </c>
      <c r="E173" s="67" t="n">
        <f aca="false">E118</f>
        <v>8936019374.79403</v>
      </c>
      <c r="F173" s="58" t="s">
        <v>147</v>
      </c>
      <c r="G173" s="87" t="s">
        <v>1473</v>
      </c>
    </row>
    <row r="174" customFormat="false" ht="29.85" hidden="false" customHeight="false" outlineLevel="0" collapsed="false">
      <c r="A174" s="5" t="s">
        <v>1474</v>
      </c>
      <c r="B174" s="61" t="s">
        <v>103</v>
      </c>
      <c r="C174" s="114" t="n">
        <f aca="false">IF(ISNUMBER(C172),C171/C172,AL_UnavailTxt)</f>
        <v>0.25807510378448</v>
      </c>
      <c r="D174" s="114" t="n">
        <f aca="false">IF(ISNUMBER(D172),D171/D172,AL_UnavailTxt)</f>
        <v>0.269870333204952</v>
      </c>
      <c r="E174" s="114" t="n">
        <f aca="false">IF(ISNUMBER(E172),E171/E172,AL_UnavailTxt)</f>
        <v>0.440727845401428</v>
      </c>
      <c r="F174" s="58" t="s">
        <v>147</v>
      </c>
      <c r="G174" s="93" t="s">
        <v>1475</v>
      </c>
    </row>
    <row r="175" customFormat="false" ht="15" hidden="false" customHeight="false" outlineLevel="0" collapsed="false">
      <c r="A175" s="5" t="s">
        <v>1476</v>
      </c>
      <c r="B175" s="61" t="s">
        <v>103</v>
      </c>
      <c r="C175" s="114" t="n">
        <f aca="false">IF(ISNUMBER(C173),C171/C173,AL_UnavailTxt)</f>
        <v>0.202141957026148</v>
      </c>
      <c r="D175" s="114" t="n">
        <f aca="false">IF(ISNUMBER(D173),D171/D173,AL_UnavailTxt)</f>
        <v>0.335115874176747</v>
      </c>
      <c r="E175" s="114" t="n">
        <f aca="false">IF(ISNUMBER(E173),E171/E173,AL_UnavailTxt)</f>
        <v>0.252591215991184</v>
      </c>
      <c r="F175" s="58" t="s">
        <v>147</v>
      </c>
      <c r="G175" s="93" t="s">
        <v>1477</v>
      </c>
    </row>
    <row r="176" customFormat="false" ht="15" hidden="false" customHeight="false" outlineLevel="0" collapsed="false">
      <c r="A176" s="59" t="s">
        <v>1478</v>
      </c>
    </row>
    <row r="177" customFormat="false" ht="29.85" hidden="false" customHeight="false" outlineLevel="0" collapsed="false">
      <c r="A177" s="6" t="s">
        <v>1479</v>
      </c>
      <c r="B177" s="61" t="s">
        <v>91</v>
      </c>
      <c r="C177" s="72" t="n">
        <f aca="false">C109*C114</f>
        <v>0.613699050196275</v>
      </c>
      <c r="D177" s="72" t="n">
        <f aca="false">D109*D114</f>
        <v>1.35944694380264</v>
      </c>
      <c r="E177" s="72" t="n">
        <f aca="false">E109*E114</f>
        <v>0.212050484823916</v>
      </c>
      <c r="F177" s="58" t="s">
        <v>147</v>
      </c>
      <c r="G177" s="87" t="s">
        <v>1480</v>
      </c>
    </row>
    <row r="178" customFormat="false" ht="44" hidden="false" customHeight="false" outlineLevel="0" collapsed="false">
      <c r="A178" s="6" t="s">
        <v>1481</v>
      </c>
      <c r="B178" s="61" t="s">
        <v>799</v>
      </c>
      <c r="C178" s="67" t="n">
        <f aca="false">IF(AND(ISNUMBER(C110),ISNUMBER(C111)),(C177-C140/C110)/((1-AL_FreeShare)/C110+AL_FreeShare/C111),AL_UnavailTxt)</f>
        <v>25574372712.7306</v>
      </c>
      <c r="D178" s="67" t="n">
        <f aca="false">IF(AND(ISNUMBER(D110),ISNUMBER(D111)),(D177-D140/D110)/((1-AL_FreeShare)/D110+AL_FreeShare/D111),AL_UnavailTxt)</f>
        <v>60688156378.3408</v>
      </c>
      <c r="E178" s="67" t="n">
        <f aca="false">IF(AND(ISNUMBER(E110),ISNUMBER(E111)),(E177-E140/E110)/((1-AL_FreeShare)/E110+AL_FreeShare/E111),AL_UnavailTxt)</f>
        <v>7029562627.5208</v>
      </c>
      <c r="F178" s="58" t="s">
        <v>147</v>
      </c>
      <c r="G178" s="93" t="s">
        <v>1482</v>
      </c>
    </row>
    <row r="179" customFormat="false" ht="29.85" hidden="false" customHeight="false" outlineLevel="0" collapsed="false">
      <c r="A179" s="6" t="s">
        <v>1483</v>
      </c>
      <c r="B179" s="61" t="s">
        <v>292</v>
      </c>
      <c r="C179" s="70" t="n">
        <f aca="false">IF(ISNUMBER(C178),C178*1000000/(SRC_DEM_012*1000000000*365),AL_UnavailTxt)</f>
        <v>28026.7098221705</v>
      </c>
      <c r="D179" s="67" t="n">
        <f aca="false">IF(ISNUMBER(D178),D178*1000000/(SRC_DEM_012*1000000000*365),AL_UnavailTxt)</f>
        <v>66507.5686337981</v>
      </c>
      <c r="E179" s="67" t="n">
        <f aca="false">IF(ISNUMBER(E178),E178*1000000/(SRC_DEM_012*1000000000*365),AL_UnavailTxt)</f>
        <v>7703.63027673513</v>
      </c>
      <c r="F179" s="58" t="s">
        <v>147</v>
      </c>
      <c r="G179" s="93" t="s">
        <v>1484</v>
      </c>
    </row>
    <row r="180" customFormat="false" ht="29.85" hidden="false" customHeight="false" outlineLevel="0" collapsed="false">
      <c r="A180" s="6" t="s">
        <v>1485</v>
      </c>
      <c r="B180" s="61" t="s">
        <v>103</v>
      </c>
      <c r="C180" s="114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14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14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區間內</v>
      </c>
      <c r="F180" s="58" t="s">
        <v>147</v>
      </c>
      <c r="G180" s="93" t="s">
        <v>1457</v>
      </c>
    </row>
    <row r="181" customFormat="false" ht="29.85" hidden="false" customHeight="false" outlineLevel="0" collapsed="false">
      <c r="A181" s="5" t="s">
        <v>1486</v>
      </c>
      <c r="B181" s="61" t="s">
        <v>99</v>
      </c>
      <c r="C181" s="103" t="n">
        <f aca="false">IF(ISNUMBER(C178),(C178*AL_FreeShare/C111)/C177,AL_UnavailTxt)</f>
        <v>0.283461688398375</v>
      </c>
      <c r="D181" s="103" t="n">
        <f aca="false">IF(ISNUMBER(D178),(D178*AL_FreeShare/D111)/D177,AL_UnavailTxt)</f>
        <v>0.303659248095239</v>
      </c>
      <c r="E181" s="103" t="n">
        <f aca="false">IF(ISNUMBER(E178),(E178*AL_FreeShare/E111)/E177,AL_UnavailTxt)</f>
        <v>0.225493415761285</v>
      </c>
      <c r="F181" s="58" t="s">
        <v>147</v>
      </c>
      <c r="G181" s="93" t="s">
        <v>1487</v>
      </c>
    </row>
    <row r="182" customFormat="false" ht="15" hidden="false" customHeight="false" outlineLevel="0" collapsed="false">
      <c r="A182" s="10" t="s">
        <v>1488</v>
      </c>
    </row>
    <row r="183" customFormat="false" ht="15" hidden="false" customHeight="false" outlineLevel="0" collapsed="false">
      <c r="A183" s="59" t="s">
        <v>370</v>
      </c>
      <c r="B183" s="59" t="s">
        <v>83</v>
      </c>
      <c r="C183" s="10" t="s">
        <v>1489</v>
      </c>
      <c r="D183" s="10" t="s">
        <v>1490</v>
      </c>
      <c r="E183" s="10" t="s">
        <v>1491</v>
      </c>
      <c r="F183" s="10" t="s">
        <v>1492</v>
      </c>
      <c r="G183" s="59" t="s">
        <v>87</v>
      </c>
      <c r="H183" s="59" t="s">
        <v>338</v>
      </c>
    </row>
    <row r="184" customFormat="false" ht="15" hidden="false" customHeight="false" outlineLevel="0" collapsed="false">
      <c r="A184" s="10" t="s">
        <v>1493</v>
      </c>
    </row>
    <row r="185" customFormat="false" ht="167.9" hidden="false" customHeight="false" outlineLevel="0" collapsed="false">
      <c r="A185" s="5" t="s">
        <v>1494</v>
      </c>
      <c r="B185" s="61" t="s">
        <v>879</v>
      </c>
      <c r="C185" s="94" t="n">
        <f aca="false">SRC_DEM_007</f>
        <v>13.07</v>
      </c>
      <c r="D185" s="115" t="n">
        <f aca="false">SRC_DEM_069*4</f>
        <v>22.8</v>
      </c>
      <c r="E185" s="115" t="n">
        <f aca="false">SRC_DEM_042*4</f>
        <v>26.8</v>
      </c>
      <c r="F185" s="149" t="n">
        <v>36</v>
      </c>
      <c r="G185" s="58" t="s">
        <v>1495</v>
      </c>
      <c r="H185" s="87" t="s">
        <v>1496</v>
      </c>
    </row>
    <row r="186" customFormat="false" ht="314.15" hidden="false" customHeight="false" outlineLevel="0" collapsed="false">
      <c r="A186" s="5" t="s">
        <v>1497</v>
      </c>
      <c r="B186" s="61" t="s">
        <v>879</v>
      </c>
      <c r="C186" s="115" t="n">
        <v>0</v>
      </c>
      <c r="D186" s="149" t="n">
        <v>0</v>
      </c>
      <c r="E186" s="149" t="n">
        <v>0.5</v>
      </c>
      <c r="F186" s="149" t="n">
        <v>1</v>
      </c>
      <c r="G186" s="58" t="s">
        <v>1498</v>
      </c>
      <c r="H186" s="87" t="s">
        <v>1499</v>
      </c>
    </row>
    <row r="187" customFormat="false" ht="179.1" hidden="false" customHeight="false" outlineLevel="0" collapsed="false">
      <c r="A187" s="6" t="s">
        <v>1500</v>
      </c>
      <c r="B187" s="61" t="s">
        <v>879</v>
      </c>
      <c r="C187" s="115" t="n">
        <f aca="false">C185-C186</f>
        <v>13.07</v>
      </c>
      <c r="D187" s="115" t="n">
        <f aca="false">D185-D186</f>
        <v>22.8</v>
      </c>
      <c r="E187" s="115" t="n">
        <f aca="false">E185-E186</f>
        <v>26.3</v>
      </c>
      <c r="F187" s="115" t="n">
        <f aca="false">F185-F186</f>
        <v>35</v>
      </c>
      <c r="G187" s="58" t="s">
        <v>147</v>
      </c>
      <c r="H187" s="87" t="s">
        <v>1501</v>
      </c>
    </row>
    <row r="188" customFormat="false" ht="208.2" hidden="false" customHeight="false" outlineLevel="0" collapsed="false">
      <c r="A188" s="5" t="s">
        <v>1502</v>
      </c>
      <c r="B188" s="61" t="s">
        <v>99</v>
      </c>
      <c r="C188" s="103" t="n">
        <f aca="false">C70</f>
        <v>0.7</v>
      </c>
      <c r="D188" s="150" t="n">
        <v>0.6</v>
      </c>
      <c r="E188" s="150" t="n">
        <v>0.55</v>
      </c>
      <c r="F188" s="150" t="n">
        <v>0.45</v>
      </c>
      <c r="G188" s="58" t="s">
        <v>1503</v>
      </c>
      <c r="H188" s="87" t="s">
        <v>1504</v>
      </c>
    </row>
    <row r="189" customFormat="false" ht="242.5" hidden="false" customHeight="false" outlineLevel="0" collapsed="false">
      <c r="A189" s="5" t="s">
        <v>1505</v>
      </c>
      <c r="B189" s="61" t="s">
        <v>99</v>
      </c>
      <c r="C189" s="103" t="n">
        <f aca="false">C131</f>
        <v>0.1</v>
      </c>
      <c r="D189" s="150" t="n">
        <v>0.2</v>
      </c>
      <c r="E189" s="150" t="n">
        <v>0.25</v>
      </c>
      <c r="F189" s="150" t="n">
        <v>0.35</v>
      </c>
      <c r="G189" s="58" t="s">
        <v>100</v>
      </c>
      <c r="H189" s="87" t="s">
        <v>1506</v>
      </c>
    </row>
    <row r="190" customFormat="false" ht="15" hidden="false" customHeight="false" outlineLevel="0" collapsed="false">
      <c r="A190" s="5" t="s">
        <v>1507</v>
      </c>
      <c r="B190" s="61" t="s">
        <v>99</v>
      </c>
      <c r="C190" s="103" t="n">
        <f aca="false">1-C188-C189</f>
        <v>0.2</v>
      </c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8" t="s">
        <v>147</v>
      </c>
      <c r="H190" s="93" t="s">
        <v>1508</v>
      </c>
    </row>
    <row r="191" customFormat="false" ht="64.9" hidden="false" customHeight="false" outlineLevel="0" collapsed="false">
      <c r="A191" s="5" t="s">
        <v>1509</v>
      </c>
      <c r="B191" s="61" t="s">
        <v>879</v>
      </c>
      <c r="C191" s="115" t="n">
        <f aca="false">C187*C188</f>
        <v>9.149</v>
      </c>
      <c r="D191" s="115" t="n">
        <f aca="false">D187*D188</f>
        <v>13.68</v>
      </c>
      <c r="E191" s="115" t="n">
        <f aca="false">E187*E188</f>
        <v>14.465</v>
      </c>
      <c r="F191" s="115" t="n">
        <f aca="false">F187*F188</f>
        <v>15.75</v>
      </c>
      <c r="G191" s="58" t="s">
        <v>147</v>
      </c>
      <c r="H191" s="87" t="s">
        <v>1510</v>
      </c>
    </row>
    <row r="192" customFormat="false" ht="39.55" hidden="false" customHeight="false" outlineLevel="0" collapsed="false">
      <c r="A192" s="5" t="s">
        <v>1511</v>
      </c>
      <c r="B192" s="61" t="s">
        <v>879</v>
      </c>
      <c r="C192" s="115" t="n">
        <f aca="false">C187*C189</f>
        <v>1.307</v>
      </c>
      <c r="D192" s="115" t="n">
        <f aca="false">D187*D189</f>
        <v>4.56</v>
      </c>
      <c r="E192" s="115" t="n">
        <f aca="false">E187*E189</f>
        <v>6.575</v>
      </c>
      <c r="F192" s="115" t="n">
        <f aca="false">F187*F189</f>
        <v>12.25</v>
      </c>
      <c r="G192" s="58" t="s">
        <v>147</v>
      </c>
      <c r="H192" s="87" t="s">
        <v>1512</v>
      </c>
    </row>
    <row r="193" customFormat="false" ht="77.6" hidden="false" customHeight="false" outlineLevel="0" collapsed="false">
      <c r="A193" s="6" t="s">
        <v>1513</v>
      </c>
      <c r="B193" s="61" t="s">
        <v>879</v>
      </c>
      <c r="C193" s="115" t="n">
        <f aca="false">C187*C190</f>
        <v>2.614</v>
      </c>
      <c r="D193" s="115" t="n">
        <f aca="false">D187*D190</f>
        <v>4.56</v>
      </c>
      <c r="E193" s="115" t="n">
        <f aca="false">E187*E190</f>
        <v>5.26</v>
      </c>
      <c r="F193" s="115" t="n">
        <f aca="false">F187*F190</f>
        <v>7</v>
      </c>
      <c r="G193" s="58" t="s">
        <v>147</v>
      </c>
      <c r="H193" s="87" t="s">
        <v>1514</v>
      </c>
    </row>
    <row r="194" customFormat="false" ht="15" hidden="false" customHeight="false" outlineLevel="0" collapsed="false">
      <c r="A194" s="10" t="s">
        <v>1515</v>
      </c>
    </row>
    <row r="195" customFormat="false" ht="88.05" hidden="false" customHeight="false" outlineLevel="0" collapsed="false">
      <c r="A195" s="6" t="s">
        <v>1516</v>
      </c>
      <c r="B195" s="61" t="s">
        <v>103</v>
      </c>
      <c r="C195" s="61" t="s">
        <v>620</v>
      </c>
      <c r="D195" s="61" t="s">
        <v>620</v>
      </c>
      <c r="E195" s="61" t="s">
        <v>620</v>
      </c>
      <c r="F195" s="148" t="n">
        <v>1.3</v>
      </c>
      <c r="G195" s="58" t="s">
        <v>100</v>
      </c>
      <c r="H195" s="93" t="s">
        <v>1517</v>
      </c>
    </row>
    <row r="196" customFormat="false" ht="73.1" hidden="false" customHeight="false" outlineLevel="0" collapsed="false">
      <c r="A196" s="6" t="s">
        <v>1518</v>
      </c>
      <c r="B196" s="61" t="s">
        <v>799</v>
      </c>
      <c r="C196" s="62" t="n">
        <f aca="false">AL_DAPI</f>
        <v>2365200000</v>
      </c>
      <c r="D196" s="67" t="n">
        <f aca="false">SRC_DEM_011*1000000000*525600/1000000</f>
        <v>7884000000</v>
      </c>
      <c r="E196" s="67" t="n">
        <f aca="false">SRC_DEM_011*1000000000*525600/1000000</f>
        <v>7884000000</v>
      </c>
      <c r="F196" s="67" t="n">
        <f aca="false">E196*F195</f>
        <v>10249200000</v>
      </c>
      <c r="G196" s="58" t="s">
        <v>1460</v>
      </c>
      <c r="H196" s="87" t="s">
        <v>1519</v>
      </c>
    </row>
    <row r="197" customFormat="false" ht="121.6" hidden="false" customHeight="false" outlineLevel="0" collapsed="false">
      <c r="A197" s="6" t="s">
        <v>1520</v>
      </c>
      <c r="B197" s="61" t="s">
        <v>1521</v>
      </c>
      <c r="C197" s="97" t="n">
        <f aca="false">SRC_DEM_012</f>
        <v>2.5</v>
      </c>
      <c r="D197" s="78" t="n">
        <v>3.2</v>
      </c>
      <c r="E197" s="78" t="n">
        <v>3.6</v>
      </c>
      <c r="F197" s="78" t="n">
        <v>3.8</v>
      </c>
      <c r="G197" s="58" t="s">
        <v>1522</v>
      </c>
      <c r="H197" s="87" t="s">
        <v>1523</v>
      </c>
    </row>
    <row r="198" customFormat="false" ht="100.7" hidden="false" customHeight="false" outlineLevel="0" collapsed="false">
      <c r="A198" s="6" t="s">
        <v>1524</v>
      </c>
      <c r="B198" s="61" t="s">
        <v>799</v>
      </c>
      <c r="C198" s="67" t="n">
        <f aca="false">C197*1000000000*AL_TokPerPrompt*365/1000000*(1-AL_FreeShare)</f>
        <v>1460000000</v>
      </c>
      <c r="D198" s="67" t="n">
        <f aca="false">D197*1000000000*AL_TokPerPrompt*365/1000000*(1-AL_FreeShare)</f>
        <v>1868800000</v>
      </c>
      <c r="E198" s="67" t="n">
        <f aca="false">E197*1000000000*AL_TokPerPrompt*365/1000000*(1-AL_FreeShare)</f>
        <v>2102400000</v>
      </c>
      <c r="F198" s="67" t="n">
        <f aca="false">F197*1000000000*AL_TokPerPrompt*365/1000000*(1-AL_FreeShare)</f>
        <v>2219200000</v>
      </c>
      <c r="G198" s="58" t="s">
        <v>1296</v>
      </c>
      <c r="H198" s="87" t="s">
        <v>1525</v>
      </c>
    </row>
    <row r="199" customFormat="false" ht="26.85" hidden="false" customHeight="false" outlineLevel="0" collapsed="false">
      <c r="A199" s="6" t="s">
        <v>1526</v>
      </c>
      <c r="B199" s="61" t="s">
        <v>799</v>
      </c>
      <c r="C199" s="67" t="n">
        <f aca="false">C197*1000000000*AL_TokPerPrompt*365/1000000*AL_FreeShare</f>
        <v>2190000000</v>
      </c>
      <c r="D199" s="67" t="n">
        <f aca="false">D197*1000000000*AL_TokPerPrompt*365/1000000*AL_FreeShare</f>
        <v>2803200000</v>
      </c>
      <c r="E199" s="67" t="n">
        <f aca="false">E197*1000000000*AL_TokPerPrompt*365/1000000*AL_FreeShare</f>
        <v>3153600000</v>
      </c>
      <c r="F199" s="67" t="n">
        <f aca="false">F197*1000000000*AL_TokPerPrompt*365/1000000*AL_FreeShare</f>
        <v>3328800000</v>
      </c>
      <c r="G199" s="58" t="s">
        <v>1296</v>
      </c>
      <c r="H199" s="87" t="s">
        <v>1527</v>
      </c>
    </row>
    <row r="200" customFormat="false" ht="204.45" hidden="false" customHeight="false" outlineLevel="0" collapsed="false">
      <c r="A200" s="6" t="s">
        <v>1528</v>
      </c>
      <c r="B200" s="61" t="s">
        <v>99</v>
      </c>
      <c r="C200" s="103" t="n">
        <f aca="false">$C$132</f>
        <v>0.75</v>
      </c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8" t="s">
        <v>1529</v>
      </c>
      <c r="H200" s="93" t="s">
        <v>1530</v>
      </c>
    </row>
    <row r="201" customFormat="false" ht="64.9" hidden="false" customHeight="false" outlineLevel="0" collapsed="false">
      <c r="A201" s="5" t="s">
        <v>1531</v>
      </c>
      <c r="B201" s="61" t="s">
        <v>799</v>
      </c>
      <c r="C201" s="67" t="n">
        <f aca="false">C198*C200</f>
        <v>1095000000</v>
      </c>
      <c r="D201" s="67" t="n">
        <f aca="false">D198*D200</f>
        <v>1214720000</v>
      </c>
      <c r="E201" s="67" t="n">
        <f aca="false">E198*E200</f>
        <v>1366560000</v>
      </c>
      <c r="F201" s="67" t="n">
        <f aca="false">F198*F200</f>
        <v>1442480000</v>
      </c>
      <c r="G201" s="58" t="s">
        <v>1296</v>
      </c>
      <c r="H201" s="87" t="s">
        <v>1532</v>
      </c>
    </row>
    <row r="202" customFormat="false" ht="29.85" hidden="false" customHeight="false" outlineLevel="0" collapsed="false">
      <c r="A202" s="5" t="s">
        <v>1414</v>
      </c>
      <c r="B202" s="61" t="s">
        <v>799</v>
      </c>
      <c r="C202" s="67" t="n">
        <f aca="false">C198*(1-C200)</f>
        <v>365000000</v>
      </c>
      <c r="D202" s="67" t="n">
        <f aca="false">D198*(1-D200)</f>
        <v>654080000</v>
      </c>
      <c r="E202" s="67" t="n">
        <f aca="false">E198*(1-E200)</f>
        <v>735840000</v>
      </c>
      <c r="F202" s="67" t="n">
        <f aca="false">F198*(1-F200)</f>
        <v>776720000</v>
      </c>
      <c r="G202" s="58" t="s">
        <v>1296</v>
      </c>
      <c r="H202" s="93"/>
    </row>
    <row r="203" customFormat="false" ht="15" hidden="false" customHeight="false" outlineLevel="0" collapsed="false">
      <c r="A203" s="10" t="s">
        <v>1533</v>
      </c>
    </row>
    <row r="204" customFormat="false" ht="141" hidden="false" customHeight="false" outlineLevel="0" collapsed="false">
      <c r="A204" s="6" t="s">
        <v>1534</v>
      </c>
      <c r="B204" s="61" t="s">
        <v>103</v>
      </c>
      <c r="C204" s="114" t="n">
        <f aca="false">$C$232</f>
        <v>0.741199548797632</v>
      </c>
      <c r="D204" s="114" t="n">
        <f aca="false">C204</f>
        <v>0.741199548797632</v>
      </c>
      <c r="E204" s="114" t="n">
        <f aca="false">C204</f>
        <v>0.741199548797632</v>
      </c>
      <c r="F204" s="114" t="n">
        <f aca="false">C204</f>
        <v>0.741199548797632</v>
      </c>
      <c r="G204" s="58" t="s">
        <v>1535</v>
      </c>
      <c r="H204" s="87" t="s">
        <v>1536</v>
      </c>
    </row>
    <row r="205" customFormat="false" ht="39.55" hidden="false" customHeight="false" outlineLevel="0" collapsed="false">
      <c r="A205" s="5" t="s">
        <v>1537</v>
      </c>
      <c r="B205" s="61" t="s">
        <v>807</v>
      </c>
      <c r="C205" s="126" t="n">
        <f aca="false">$C$90</f>
        <v>1.96067555555556</v>
      </c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8" t="s">
        <v>147</v>
      </c>
      <c r="H205" s="93" t="s">
        <v>1538</v>
      </c>
    </row>
    <row r="206" customFormat="false" ht="88.05" hidden="false" customHeight="false" outlineLevel="0" collapsed="false">
      <c r="A206" s="6" t="s">
        <v>1539</v>
      </c>
      <c r="B206" s="61" t="s">
        <v>103</v>
      </c>
      <c r="C206" s="106" t="n">
        <f aca="false">C193*1000000000/(C196*C205)</f>
        <v>0.56367915987388</v>
      </c>
      <c r="D206" s="114" t="n">
        <f aca="false">D193*1000000000/(D196*D205)</f>
        <v>0.294993531257639</v>
      </c>
      <c r="E206" s="114" t="n">
        <f aca="false">E193*1000000000/(E196*E205)</f>
        <v>0.340277625968241</v>
      </c>
      <c r="F206" s="114" t="n">
        <f aca="false">F193*1000000000/(F196*F205)</f>
        <v>0.348339190081557</v>
      </c>
      <c r="G206" s="58" t="s">
        <v>147</v>
      </c>
      <c r="H206" s="93" t="s">
        <v>1540</v>
      </c>
    </row>
    <row r="207" customFormat="false" ht="88.05" hidden="false" customHeight="false" outlineLevel="0" collapsed="false">
      <c r="A207" s="6" t="s">
        <v>1541</v>
      </c>
      <c r="B207" s="61" t="s">
        <v>103</v>
      </c>
      <c r="C207" s="114" t="n">
        <f aca="false">C191*1000000000/(C201*C205)</f>
        <v>4.26141444864653</v>
      </c>
      <c r="D207" s="114" t="n">
        <f aca="false">D191*1000000000/(D201*D205)</f>
        <v>5.74386443073768</v>
      </c>
      <c r="E207" s="114" t="n">
        <f aca="false">E191*1000000000/(E201*E205)</f>
        <v>5.39863541199614</v>
      </c>
      <c r="F207" s="114" t="n">
        <f aca="false">F191*1000000000/(F201*F205)</f>
        <v>5.56884363090911</v>
      </c>
      <c r="G207" s="58" t="s">
        <v>147</v>
      </c>
      <c r="H207" s="93" t="s">
        <v>1542</v>
      </c>
    </row>
    <row r="208" customFormat="false" ht="88.05" hidden="false" customHeight="false" outlineLevel="0" collapsed="false">
      <c r="A208" s="6" t="s">
        <v>1543</v>
      </c>
      <c r="B208" s="61" t="s">
        <v>103</v>
      </c>
      <c r="C208" s="114" t="n">
        <f aca="false">C192*1000000000/(C202*C205)</f>
        <v>1.82632047799137</v>
      </c>
      <c r="D208" s="114" t="n">
        <f aca="false">D192*1000000000/(D202*D205)</f>
        <v>3.55572559998047</v>
      </c>
      <c r="E208" s="114" t="n">
        <f aca="false">E192*1000000000/(E202*E205)</f>
        <v>4.55728963350323</v>
      </c>
      <c r="F208" s="114" t="n">
        <f aca="false">F192*1000000000/(F202*F205)</f>
        <v>8.04388524464649</v>
      </c>
      <c r="G208" s="58" t="s">
        <v>147</v>
      </c>
      <c r="H208" s="93" t="s">
        <v>1544</v>
      </c>
    </row>
    <row r="209" customFormat="false" ht="123.85" hidden="false" customHeight="false" outlineLevel="0" collapsed="false">
      <c r="A209" s="6" t="s">
        <v>1545</v>
      </c>
      <c r="B209" s="61" t="s">
        <v>103</v>
      </c>
      <c r="C209" s="106" t="n">
        <f aca="false">C187*1000000000/((C196+C198)*C205)</f>
        <v>1.74267221182383</v>
      </c>
      <c r="D209" s="114" t="n">
        <f aca="false">D187*1000000000/((D196+D198)*D205)</f>
        <v>1.19233912334674</v>
      </c>
      <c r="E209" s="114" t="n">
        <f aca="false">E187*1000000000/((E196+E198)*E205)</f>
        <v>1.34320115513779</v>
      </c>
      <c r="F209" s="114" t="n">
        <f aca="false">F187*1000000000/((F196+F198)*F205)</f>
        <v>1.4316985447146</v>
      </c>
      <c r="G209" s="58" t="s">
        <v>147</v>
      </c>
      <c r="H209" s="93" t="s">
        <v>1546</v>
      </c>
    </row>
    <row r="210" customFormat="false" ht="15" hidden="false" customHeight="false" outlineLevel="0" collapsed="false">
      <c r="A210" s="10" t="s">
        <v>1547</v>
      </c>
    </row>
    <row r="211" customFormat="false" ht="88.05" hidden="false" customHeight="false" outlineLevel="0" collapsed="false">
      <c r="A211" s="6" t="s">
        <v>1548</v>
      </c>
      <c r="B211" s="61" t="s">
        <v>99</v>
      </c>
      <c r="C211" s="109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8" t="s">
        <v>100</v>
      </c>
      <c r="H211" s="93" t="s">
        <v>1549</v>
      </c>
    </row>
    <row r="212" customFormat="false" ht="62.65" hidden="false" customHeight="false" outlineLevel="0" collapsed="false">
      <c r="A212" s="6" t="s">
        <v>1550</v>
      </c>
      <c r="B212" s="61" t="s">
        <v>99</v>
      </c>
      <c r="C212" s="109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8" t="s">
        <v>100</v>
      </c>
      <c r="H212" s="93" t="s">
        <v>1551</v>
      </c>
    </row>
    <row r="213" customFormat="false" ht="62.65" hidden="false" customHeight="false" outlineLevel="0" collapsed="false">
      <c r="A213" s="6" t="s">
        <v>1552</v>
      </c>
      <c r="B213" s="61" t="s">
        <v>99</v>
      </c>
      <c r="C213" s="109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8" t="s">
        <v>100</v>
      </c>
      <c r="H213" s="93" t="s">
        <v>1553</v>
      </c>
    </row>
    <row r="214" customFormat="false" ht="113.4" hidden="false" customHeight="false" outlineLevel="0" collapsed="false">
      <c r="A214" s="6" t="s">
        <v>1554</v>
      </c>
      <c r="B214" s="61" t="s">
        <v>99</v>
      </c>
      <c r="C214" s="109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8" t="s">
        <v>100</v>
      </c>
      <c r="H214" s="93" t="s">
        <v>1555</v>
      </c>
    </row>
    <row r="215" customFormat="false" ht="15" hidden="false" customHeight="false" outlineLevel="0" collapsed="false">
      <c r="A215" s="5" t="s">
        <v>1556</v>
      </c>
      <c r="B215" s="61" t="s">
        <v>99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8" t="s">
        <v>147</v>
      </c>
      <c r="H215" s="93"/>
    </row>
    <row r="216" customFormat="false" ht="180.55" hidden="false" customHeight="false" outlineLevel="0" collapsed="false">
      <c r="A216" s="5" t="s">
        <v>1557</v>
      </c>
      <c r="B216" s="61" t="s">
        <v>879</v>
      </c>
      <c r="C216" s="94" t="n">
        <f aca="false">SRC_DEM_004</f>
        <v>8.4</v>
      </c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8" t="s">
        <v>1270</v>
      </c>
      <c r="H216" s="87" t="s">
        <v>1558</v>
      </c>
    </row>
    <row r="217" customFormat="false" ht="39.55" hidden="false" customHeight="false" outlineLevel="0" collapsed="false">
      <c r="A217" s="5" t="s">
        <v>1559</v>
      </c>
      <c r="B217" s="61" t="s">
        <v>1560</v>
      </c>
      <c r="C217" s="114" t="n">
        <f aca="false">SUMPRODUCT(AL_ShareGen,AL_HoldGen)</f>
        <v>9.35311859805586</v>
      </c>
      <c r="D217" s="114" t="n">
        <f aca="false">D211*INDEX(AL_HoldGen,1,1)+D212*INDEX(AL_HoldGen,1,2)+D213*INDEX(AL_HoldGen,1,3)+D214*INDEX(AL_HoldGen,1,4)</f>
        <v>9.73132262697082</v>
      </c>
      <c r="E217" s="114" t="n">
        <f aca="false">E211*INDEX(AL_HoldGen,1,1)+E212*INDEX(AL_HoldGen,1,2)+E213*INDEX(AL_HoldGen,1,3)+E214*INDEX(AL_HoldGen,1,4)</f>
        <v>9.73132262697082</v>
      </c>
      <c r="F217" s="114" t="n">
        <f aca="false">F211*INDEX(AL_HoldGen,1,1)+F212*INDEX(AL_HoldGen,1,2)+F213*INDEX(AL_HoldGen,1,3)+F214*INDEX(AL_HoldGen,1,4)</f>
        <v>9.73132262697082</v>
      </c>
      <c r="G217" s="58" t="s">
        <v>147</v>
      </c>
      <c r="H217" s="87" t="s">
        <v>1561</v>
      </c>
    </row>
    <row r="218" customFormat="false" ht="174.6" hidden="false" customHeight="false" outlineLevel="0" collapsed="false">
      <c r="A218" s="5" t="s">
        <v>1562</v>
      </c>
      <c r="B218" s="61" t="s">
        <v>91</v>
      </c>
      <c r="C218" s="72" t="n">
        <f aca="false">C216/C217/AL_SpendBasis*(AL_UtilActual*CTL_ProdDerate)/IF_Util*AL_Kappa</f>
        <v>0.613699050196275</v>
      </c>
      <c r="D218" s="72" t="n">
        <f aca="false">D216/D217/AL_SpendBasis*(AL_UtilActual*CTL_ProdDerate)/IF_Util*AL_Kappa</f>
        <v>0.990101794929308</v>
      </c>
      <c r="E218" s="72" t="n">
        <f aca="false">E216/E217/AL_SpendBasis*(AL_UtilActual*CTL_ProdDerate)/IF_Util*AL_Kappa</f>
        <v>0.990101794929308</v>
      </c>
      <c r="F218" s="72" t="n">
        <f aca="false">F216/F217/AL_SpendBasis*(AL_UtilActual*CTL_ProdDerate)/IF_Util*AL_Kappa</f>
        <v>0.990101794929308</v>
      </c>
      <c r="G218" s="58" t="s">
        <v>1296</v>
      </c>
      <c r="H218" s="87" t="s">
        <v>1563</v>
      </c>
    </row>
    <row r="219" customFormat="false" ht="64.9" hidden="false" customHeight="false" outlineLevel="0" collapsed="false">
      <c r="A219" s="5" t="s">
        <v>1564</v>
      </c>
      <c r="B219" s="61" t="s">
        <v>1359</v>
      </c>
      <c r="C219" s="62" t="n">
        <f aca="false">AL_BlendPaid</f>
        <v>28641881857.3138</v>
      </c>
      <c r="D219" s="67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45840713319.3591</v>
      </c>
      <c r="E219" s="67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45840713319.3591</v>
      </c>
      <c r="F219" s="67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45840713319.3591</v>
      </c>
      <c r="G219" s="58" t="s">
        <v>147</v>
      </c>
      <c r="H219" s="87" t="s">
        <v>1565</v>
      </c>
    </row>
    <row r="220" customFormat="false" ht="26.85" hidden="false" customHeight="false" outlineLevel="0" collapsed="false">
      <c r="A220" s="5" t="s">
        <v>1566</v>
      </c>
      <c r="B220" s="61" t="s">
        <v>1359</v>
      </c>
      <c r="C220" s="62" t="n">
        <f aca="false">AL_BlendFree</f>
        <v>88207684100.2911</v>
      </c>
      <c r="D220" s="67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168423315864.525</v>
      </c>
      <c r="E220" s="67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168423315864.525</v>
      </c>
      <c r="F220" s="67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168423315864.525</v>
      </c>
      <c r="G220" s="58" t="s">
        <v>147</v>
      </c>
      <c r="H220" s="87" t="s">
        <v>1567</v>
      </c>
    </row>
    <row r="221" customFormat="false" ht="37.3" hidden="false" customHeight="false" outlineLevel="0" collapsed="false">
      <c r="A221" s="5" t="s">
        <v>1568</v>
      </c>
      <c r="B221" s="61" t="s">
        <v>103</v>
      </c>
      <c r="C221" s="114" t="n">
        <f aca="false">C199/(C196+C198)</f>
        <v>0.572519083969466</v>
      </c>
      <c r="D221" s="114" t="n">
        <f aca="false">D199/(D196+D198)</f>
        <v>0.287425149700599</v>
      </c>
      <c r="E221" s="114" t="n">
        <f aca="false">E199/(E196+E198)</f>
        <v>0.315789473684211</v>
      </c>
      <c r="F221" s="114" t="n">
        <f aca="false">F199/(F196+F198)</f>
        <v>0.266978922716628</v>
      </c>
      <c r="G221" s="58" t="s">
        <v>147</v>
      </c>
      <c r="H221" s="87" t="s">
        <v>1569</v>
      </c>
    </row>
    <row r="222" customFormat="false" ht="29.85" hidden="false" customHeight="false" outlineLevel="0" collapsed="false">
      <c r="A222" s="5" t="s">
        <v>1372</v>
      </c>
      <c r="B222" s="61" t="s">
        <v>799</v>
      </c>
      <c r="C222" s="67" t="n">
        <f aca="false">IF(AND(ISNUMBER(C219),ISNUMBER(C220)),C218/(1/C219+C221/C220),AL_UnavailTxt)</f>
        <v>14822041893.6437</v>
      </c>
      <c r="D222" s="67" t="n">
        <f aca="false">IF(AND(ISNUMBER(D219),ISNUMBER(D220)),D218/(1/D219+D221/D220),AL_UnavailTxt)</f>
        <v>42093957752.5842</v>
      </c>
      <c r="E222" s="67" t="n">
        <f aca="false">IF(AND(ISNUMBER(E219),ISNUMBER(E220)),E218/(1/E219+E221/E220),AL_UnavailTxt)</f>
        <v>41794709619.8186</v>
      </c>
      <c r="F222" s="67" t="n">
        <f aca="false">IF(AND(ISNUMBER(F219),ISNUMBER(F220)),F218/(1/F219+F221/F220),AL_UnavailTxt)</f>
        <v>42312340298.3027</v>
      </c>
      <c r="G222" s="58" t="s">
        <v>147</v>
      </c>
      <c r="H222" s="87" t="s">
        <v>1570</v>
      </c>
    </row>
    <row r="223" customFormat="false" ht="60.4" hidden="false" customHeight="false" outlineLevel="0" collapsed="false">
      <c r="A223" s="6" t="s">
        <v>1571</v>
      </c>
      <c r="B223" s="61" t="s">
        <v>103</v>
      </c>
      <c r="C223" s="106" t="n">
        <f aca="false">IF(ISNUMBER(C222),C187*1000000000/(C222*INDEX(B4_PriceFleet,1,1)),AL_UnavailTxt)</f>
        <v>0.556531436733727</v>
      </c>
      <c r="D223" s="114" t="n">
        <f aca="false">IF(ISNUMBER(D222),D187*1000000000/(D222*INDEX(B4_PriceFleet,1,2)),AL_UnavailTxt)</f>
        <v>0.290780621870213</v>
      </c>
      <c r="E223" s="114" t="n">
        <f aca="false">IF(ISNUMBER(E222),E187*1000000000/(E222*INDEX(B4_PriceFleet,1,3)),AL_UnavailTxt)</f>
        <v>0.337819574945091</v>
      </c>
      <c r="F223" s="114" t="n">
        <f aca="false">IF(ISNUMBER(F222),F187*1000000000/(F222*INDEX(B4_PriceFleet,1,4)),AL_UnavailTxt)</f>
        <v>0.444069936382385</v>
      </c>
      <c r="G223" s="58" t="s">
        <v>147</v>
      </c>
      <c r="H223" s="93" t="s">
        <v>1572</v>
      </c>
    </row>
    <row r="224" customFormat="false" ht="39.55" hidden="false" customHeight="false" outlineLevel="0" collapsed="false">
      <c r="A224" s="5" t="s">
        <v>1573</v>
      </c>
      <c r="B224" s="61" t="s">
        <v>103</v>
      </c>
      <c r="C224" s="114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1" t="s">
        <v>620</v>
      </c>
      <c r="E224" s="61" t="s">
        <v>620</v>
      </c>
      <c r="F224" s="61" t="s">
        <v>620</v>
      </c>
      <c r="G224" s="58" t="s">
        <v>147</v>
      </c>
      <c r="H224" s="87" t="s">
        <v>1574</v>
      </c>
    </row>
    <row r="225" customFormat="false" ht="15" hidden="false" customHeight="false" outlineLevel="0" collapsed="false">
      <c r="A225" s="10" t="s">
        <v>1575</v>
      </c>
    </row>
    <row r="226" customFormat="false" ht="64.9" hidden="false" customHeight="false" outlineLevel="0" collapsed="false">
      <c r="A226" s="5" t="s">
        <v>1576</v>
      </c>
      <c r="B226" s="61" t="s">
        <v>99</v>
      </c>
      <c r="C226" s="150" t="n">
        <v>-0.1</v>
      </c>
      <c r="D226" s="150" t="n">
        <v>-0.25</v>
      </c>
      <c r="E226" s="150" t="n">
        <v>0.05</v>
      </c>
      <c r="F226" s="58" t="s">
        <v>100</v>
      </c>
      <c r="G226" s="93" t="s">
        <v>1577</v>
      </c>
    </row>
    <row r="227" customFormat="false" ht="26.85" hidden="false" customHeight="false" outlineLevel="0" collapsed="false">
      <c r="A227" s="5" t="s">
        <v>1578</v>
      </c>
      <c r="B227" s="60" t="s">
        <v>134</v>
      </c>
      <c r="C227" s="66" t="n">
        <v>4</v>
      </c>
      <c r="D227" s="66" t="n">
        <v>3</v>
      </c>
      <c r="E227" s="66" t="n">
        <v>5</v>
      </c>
      <c r="F227" s="58" t="s">
        <v>100</v>
      </c>
      <c r="G227" s="93" t="s">
        <v>1579</v>
      </c>
    </row>
    <row r="228" customFormat="false" ht="29.85" hidden="false" customHeight="false" outlineLevel="0" collapsed="false">
      <c r="A228" s="5" t="s">
        <v>1580</v>
      </c>
      <c r="B228" s="61" t="s">
        <v>103</v>
      </c>
      <c r="C228" s="148" t="n">
        <v>0.5</v>
      </c>
      <c r="D228" s="114" t="n">
        <f aca="false">IF_PriceRef_Luna/IF_PriceRef_Sol</f>
        <v>0.05</v>
      </c>
      <c r="E228" s="148" t="n">
        <v>1</v>
      </c>
      <c r="F228" s="58" t="s">
        <v>1581</v>
      </c>
      <c r="G228" s="93" t="s">
        <v>1582</v>
      </c>
    </row>
    <row r="229" customFormat="false" ht="29.85" hidden="false" customHeight="false" outlineLevel="0" collapsed="false">
      <c r="A229" s="5" t="s">
        <v>1583</v>
      </c>
      <c r="B229" s="60" t="s">
        <v>134</v>
      </c>
      <c r="C229" s="111" t="n">
        <f aca="false">INDEX(IF_DeprLifeIT,1,2)</f>
        <v>6</v>
      </c>
      <c r="D229" s="111" t="n">
        <f aca="false">INDEX(IF_DeprLifeIT,1,2)</f>
        <v>6</v>
      </c>
      <c r="E229" s="111" t="n">
        <f aca="false">INDEX(IF_DeprLifeIT,1,2)</f>
        <v>6</v>
      </c>
      <c r="F229" s="58" t="s">
        <v>1584</v>
      </c>
      <c r="G229" s="87" t="s">
        <v>1585</v>
      </c>
    </row>
    <row r="230" customFormat="false" ht="15" hidden="false" customHeight="false" outlineLevel="0" collapsed="false">
      <c r="A230" s="10" t="s">
        <v>1586</v>
      </c>
    </row>
    <row r="231" customFormat="false" ht="15" hidden="false" customHeight="false" outlineLevel="0" collapsed="false">
      <c r="A231" s="6" t="s">
        <v>1587</v>
      </c>
      <c r="B231" s="61" t="s">
        <v>103</v>
      </c>
      <c r="C231" s="114" t="n">
        <f aca="false">LN(1+C226)</f>
        <v>-0.105360515657826</v>
      </c>
      <c r="D231" s="114" t="n">
        <f aca="false">LN(1+D226)</f>
        <v>-0.287682072451781</v>
      </c>
      <c r="E231" s="114" t="n">
        <f aca="false">LN(1+E226)</f>
        <v>0.0487901641694321</v>
      </c>
      <c r="F231" s="58" t="s">
        <v>147</v>
      </c>
      <c r="G231" s="93" t="s">
        <v>1588</v>
      </c>
    </row>
    <row r="232" customFormat="false" ht="15" hidden="false" customHeight="false" outlineLevel="0" collapsed="false">
      <c r="A232" s="6" t="s">
        <v>1589</v>
      </c>
      <c r="B232" s="61" t="s">
        <v>103</v>
      </c>
      <c r="C232" s="106" t="n">
        <f aca="false">IF(ABS(LN(1+C226))&lt;0.000000000001,1,((1+C226)^C229-1)/(C229*LN(1+C226)))</f>
        <v>0.741199548797632</v>
      </c>
      <c r="D232" s="114" t="n">
        <f aca="false">IF(ABS(LN(1+D226))&lt;0.000000000001,1,((1+D226)^D229-1)/(D229*LN(1+D226)))</f>
        <v>0.476232597886788</v>
      </c>
      <c r="E232" s="114" t="n">
        <f aca="false">IF(ABS(LN(1+E226))&lt;0.000000000001,1,((1+E226)^E229-1)/(E229*LN(1+E226)))</f>
        <v>1.16176298513761</v>
      </c>
      <c r="F232" s="58" t="s">
        <v>147</v>
      </c>
      <c r="G232" s="93" t="s">
        <v>1590</v>
      </c>
    </row>
    <row r="233" customFormat="false" ht="29.85" hidden="false" customHeight="false" outlineLevel="0" collapsed="false">
      <c r="A233" s="6" t="s">
        <v>1591</v>
      </c>
      <c r="B233" s="61" t="s">
        <v>103</v>
      </c>
      <c r="C233" s="106" t="n">
        <f aca="false">IF(ABS(LN(1+C226))&lt;0.000000000001,(C227+C228*(C229-C227))/C229,(((1+C226)^C227-1)+C228*((1+C226)^C229-(1+C226)^C227))/(C229*LN(1+C226)))</f>
        <v>0.642602366208498</v>
      </c>
      <c r="D233" s="114" t="n">
        <f aca="false">IF(ABS(LN(1+D226))&lt;0.000000000001,(D227+D228*(D229-D227))/D229,(((1+D226)^D227-1)+D228*((1+D226)^D229-(1+D226)^D227))/(D229*LN(1+D226)))</f>
        <v>0.341997805185732</v>
      </c>
      <c r="E233" s="114" t="n">
        <f aca="false">IF(ABS(LN(1+E226))&lt;0.000000000001,(E227+E228*(E229-E227))/E229,(((1+E226)^E227-1)+E228*((1+E226)^E229-(1+E226)^E227))/(E229*LN(1+E226)))</f>
        <v>1.16176298513761</v>
      </c>
      <c r="F233" s="58" t="s">
        <v>147</v>
      </c>
      <c r="G233" s="93" t="s">
        <v>1592</v>
      </c>
    </row>
    <row r="234" customFormat="false" ht="15" hidden="false" customHeight="false" outlineLevel="0" collapsed="false">
      <c r="A234" s="6" t="s">
        <v>1593</v>
      </c>
      <c r="B234" s="61" t="s">
        <v>103</v>
      </c>
      <c r="C234" s="106" t="n">
        <f aca="false">C233/C232</f>
        <v>0.8669761972345</v>
      </c>
      <c r="D234" s="114" t="n">
        <f aca="false">D233/D232</f>
        <v>0.718131868131868</v>
      </c>
      <c r="E234" s="114" t="n">
        <f aca="false">E233/E232</f>
        <v>1</v>
      </c>
      <c r="F234" s="58" t="s">
        <v>147</v>
      </c>
      <c r="G234" s="93" t="s">
        <v>1594</v>
      </c>
    </row>
    <row r="235" customFormat="false" ht="15" hidden="false" customHeight="false" outlineLevel="0" collapsed="false">
      <c r="A235" s="10" t="s">
        <v>1595</v>
      </c>
    </row>
    <row r="236" customFormat="false" ht="29.85" hidden="false" customHeight="false" outlineLevel="0" collapsed="false">
      <c r="A236" s="5" t="s">
        <v>1596</v>
      </c>
      <c r="B236" s="61" t="s">
        <v>103</v>
      </c>
      <c r="C236" s="114" t="n">
        <f aca="false">CTL_PriceLife</f>
        <v>1</v>
      </c>
      <c r="D236" s="114" t="n">
        <f aca="false">CTL_PriceLife</f>
        <v>1</v>
      </c>
      <c r="E236" s="114" t="n">
        <f aca="false">CTL_PriceLife</f>
        <v>1</v>
      </c>
      <c r="F236" s="58" t="s">
        <v>1597</v>
      </c>
      <c r="G236" s="87" t="s">
        <v>1598</v>
      </c>
    </row>
    <row r="237" customFormat="false" ht="29.85" hidden="false" customHeight="false" outlineLevel="0" collapsed="false">
      <c r="A237" s="5" t="s">
        <v>1599</v>
      </c>
      <c r="B237" s="61" t="s">
        <v>103</v>
      </c>
      <c r="C237" s="61" t="s">
        <v>1600</v>
      </c>
      <c r="D237" s="61" t="s">
        <v>620</v>
      </c>
      <c r="E237" s="61" t="s">
        <v>620</v>
      </c>
      <c r="F237" s="58" t="s">
        <v>1601</v>
      </c>
      <c r="G237" s="87" t="s">
        <v>1602</v>
      </c>
    </row>
    <row r="238" customFormat="false" ht="29.85" hidden="false" customHeight="false" outlineLevel="0" collapsed="false">
      <c r="A238" s="5" t="s">
        <v>1603</v>
      </c>
      <c r="B238" s="61" t="s">
        <v>103</v>
      </c>
      <c r="C238" s="114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14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14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8" t="s">
        <v>147</v>
      </c>
      <c r="G238" s="93" t="s">
        <v>1604</v>
      </c>
    </row>
    <row r="239" customFormat="false" ht="15" hidden="false" customHeight="false" outlineLevel="0" collapsed="false">
      <c r="A239" s="10" t="s">
        <v>1605</v>
      </c>
    </row>
    <row r="240" customFormat="false" ht="41" hidden="false" customHeight="false" outlineLevel="0" collapsed="false">
      <c r="A240" s="5" t="s">
        <v>1606</v>
      </c>
      <c r="B240" s="61" t="s">
        <v>103</v>
      </c>
      <c r="C240" s="106" t="n">
        <f aca="false">IF(AND(ISNUMBER(L1_FleetBreakeven),ISNUMBER(L1_MFleet)),L1_FleetBreakeven/(IF_Util*CTL_ProdDerate*L1_MFleet),"m 非數字（本情境）")</f>
        <v>0.530416096285739</v>
      </c>
      <c r="D240" s="114" t="n">
        <f aca="false">IF(AND(ISNUMBER(L1_FleetBreakeven),ISNUMBER(L1_MFleet_Hi)),L1_FleetBreakeven/(IF_Util*CTL_ProdDerate*L1_MFleet_Hi),"m 非數字（本情境）")</f>
        <v>0.183273854407674</v>
      </c>
      <c r="E240" s="114" t="n">
        <f aca="false">IF(AND(ISNUMBER(L1_FleetBreakeven),ISNUMBER(L1_MFleet_Lo)),L1_FleetBreakeven/(IF_Util*CTL_ProdDerate*L1_MFleet_Lo),"m 非數字（本情境）")</f>
        <v>1.17496114880536</v>
      </c>
      <c r="F240" s="58" t="s">
        <v>147</v>
      </c>
      <c r="G240" s="93" t="s">
        <v>1607</v>
      </c>
    </row>
    <row r="241" customFormat="false" ht="29.85" hidden="false" customHeight="false" outlineLevel="0" collapsed="false">
      <c r="A241" s="5" t="s">
        <v>1608</v>
      </c>
      <c r="B241" s="61" t="s">
        <v>103</v>
      </c>
      <c r="C241" s="114" t="n">
        <f aca="false">IF(AND(ISNUMBER(L1_FleetBreakeven),ISNUMBER(L1_MAPI)),L1_FleetBreakeven/(IF_Util*CTL_ProdDerate*L1_MAPI),"m 非數字（本情境）")</f>
        <v>0.523690164806953</v>
      </c>
      <c r="D241" s="114" t="n">
        <f aca="false">IF(AND(ISNUMBER(L1_FleetBreakeven),ISNUMBER(L1_MAPI_Hi)),L1_FleetBreakeven/(IF_Util*CTL_ProdDerate*L1_MAPI_Hi),"m 非數字（本情境）")</f>
        <v>0.371948671791339</v>
      </c>
      <c r="E241" s="114" t="n">
        <f aca="false">IF(AND(ISNUMBER(L1_FleetBreakeven),ISNUMBER(L1_MAPI_Lo)),L1_FleetBreakeven/(IF_Util*CTL_ProdDerate*L1_MAPI_Lo),"m 非數字（本情境）")</f>
        <v>2.79301421230374</v>
      </c>
      <c r="F241" s="58" t="s">
        <v>147</v>
      </c>
      <c r="G241" s="93" t="s">
        <v>1609</v>
      </c>
    </row>
    <row r="242" customFormat="false" ht="15" hidden="false" customHeight="false" outlineLevel="0" collapsed="false">
      <c r="A242" s="5" t="s">
        <v>1610</v>
      </c>
      <c r="B242" s="61" t="s">
        <v>103</v>
      </c>
      <c r="C242" s="114" t="str">
        <f aca="false">IF(ISNUMBER(C240),IF(C233&gt;=C240,"回本（L_total 口徑）：L_total ≥ 所需 L","未回本（L_total 口徑）：L_total &lt; 所需 L"),"m 非數字（本情境）")</f>
        <v>回本（L_total 口徑）：L_total ≥ 所需 L</v>
      </c>
      <c r="D242" s="114" t="str">
        <f aca="false">IF(ISNUMBER(D240),IF(D233&gt;=D240,"回本（L_total 口徑）：L_total ≥ 所需 L","未回本（L_total 口徑）：L_total &lt; 所需 L"),"m 非數字（本情境）")</f>
        <v>回本（L_total 口徑）：L_total ≥ 所需 L</v>
      </c>
      <c r="E242" s="114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8" t="s">
        <v>147</v>
      </c>
      <c r="G242" s="93" t="s">
        <v>1611</v>
      </c>
    </row>
    <row r="243" customFormat="false" ht="15" hidden="false" customHeight="false" outlineLevel="0" collapsed="false">
      <c r="A243" s="5" t="s">
        <v>1612</v>
      </c>
      <c r="B243" s="61" t="s">
        <v>103</v>
      </c>
      <c r="C243" s="114" t="str">
        <f aca="false">IF(ISNUMBER(C241),IF(C233&gt;=C241,"回本（L_total 口徑）：L_total ≥ 所需 L","未回本（L_total 口徑）：L_total &lt; 所需 L"),"m 非數字（本情境）")</f>
        <v>回本（L_total 口徑）：L_total ≥ 所需 L</v>
      </c>
      <c r="D243" s="114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14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8" t="s">
        <v>147</v>
      </c>
      <c r="G243" s="93" t="s">
        <v>1613</v>
      </c>
    </row>
    <row r="244" customFormat="false" ht="15" hidden="false" customHeight="false" outlineLevel="0" collapsed="false">
      <c r="A244" s="10" t="s">
        <v>1614</v>
      </c>
    </row>
    <row r="245" customFormat="false" ht="29.85" hidden="false" customHeight="false" outlineLevel="0" collapsed="false">
      <c r="A245" s="5" t="s">
        <v>1615</v>
      </c>
      <c r="B245" s="61" t="s">
        <v>103</v>
      </c>
      <c r="C245" s="114" t="n">
        <f aca="false">AL_Kappa</f>
        <v>1</v>
      </c>
      <c r="D245" s="114" t="n">
        <f aca="false">AL_Kappa_Lo</f>
        <v>0.65</v>
      </c>
      <c r="E245" s="114" t="n">
        <f aca="false">AL_Kappa_Hi</f>
        <v>1.2</v>
      </c>
      <c r="F245" s="58" t="s">
        <v>1616</v>
      </c>
      <c r="G245" s="93" t="s">
        <v>1617</v>
      </c>
    </row>
    <row r="246" customFormat="false" ht="29.85" hidden="false" customHeight="false" outlineLevel="0" collapsed="false">
      <c r="A246" s="5" t="s">
        <v>1618</v>
      </c>
      <c r="B246" s="61" t="s">
        <v>103</v>
      </c>
      <c r="C246" s="114" t="n">
        <f aca="false">IF(ISNUMBER(Sens_Perf!$W$98),IF(Sens_Perf!$W$98&gt;0,INDEX(IF_TokGW_Sol,1,11)/Sens_Perf!$W$98,AL_UnavailTxt),AL_UnavailTxt)</f>
        <v>2.30652659115816</v>
      </c>
      <c r="D246" s="114" t="n">
        <f aca="false">IF(ISNUMBER(Sens_Perf!$Y$98),IF(Sens_Perf!$Y$98&gt;0,INDEX(IF_TokGW_Sol,1,11)/Sens_Perf!$Y$98,AL_UnavailTxt),AL_UnavailTxt)</f>
        <v>0.518188098352661</v>
      </c>
      <c r="E246" s="114" t="n">
        <f aca="false">IF(ISNUMBER(Sens_Perf!$W$98),IF(Sens_Perf!$W$98&gt;0,INDEX(IF_TokGW_Sol,1,11)/Sens_Perf!$W$98,AL_UnavailTxt),AL_UnavailTxt)</f>
        <v>2.30652659115816</v>
      </c>
      <c r="F246" s="58" t="s">
        <v>1619</v>
      </c>
      <c r="G246" s="93" t="s">
        <v>1620</v>
      </c>
    </row>
    <row r="247" customFormat="false" ht="15" hidden="false" customHeight="false" outlineLevel="0" collapsed="false">
      <c r="A247" s="10" t="s">
        <v>1621</v>
      </c>
    </row>
    <row r="248" customFormat="false" ht="44" hidden="false" customHeight="false" outlineLevel="0" collapsed="false">
      <c r="A248" s="6" t="s">
        <v>1622</v>
      </c>
      <c r="B248" s="61" t="s">
        <v>292</v>
      </c>
      <c r="C248" s="67" t="n">
        <f aca="false">AL_TokPerPrompt</f>
        <v>4000</v>
      </c>
      <c r="D248" s="67" t="n">
        <f aca="false">AL_TokPerPrompt_Lo</f>
        <v>2000</v>
      </c>
      <c r="E248" s="67" t="n">
        <f aca="false">AL_TokPerPrompt_Hi</f>
        <v>11000</v>
      </c>
      <c r="F248" s="58" t="s">
        <v>1623</v>
      </c>
      <c r="G248" s="93" t="s">
        <v>1624</v>
      </c>
    </row>
    <row r="249" customFormat="false" ht="15" hidden="false" customHeight="false" outlineLevel="0" collapsed="false">
      <c r="A249" s="6" t="s">
        <v>1625</v>
      </c>
      <c r="B249" s="61" t="s">
        <v>91</v>
      </c>
      <c r="C249" s="72" t="n">
        <f aca="false">IF(AND(ISNUMBER(AL_BlendPaid),ISNUMBER(AL_BlendFree)),AL_DAPI/AL_BlendPaid+C248*SRC_DEM_012*1000000000*365/1000000*((1-AL_FreeShare)/AL_BlendPaid+AL_FreeShare/AL_BlendFree),AL_UnavailTxt)</f>
        <v>0.15838044607184</v>
      </c>
      <c r="D249" s="72" t="n">
        <f aca="false">IF(AND(ISNUMBER(AL_BlendPaid),ISNUMBER(AL_BlendFree)),AL_DAPI/AL_BlendPaid+D248*SRC_DEM_012*1000000000*365/1000000*((1-AL_FreeShare)/AL_BlendPaid+AL_FreeShare/AL_BlendFree),AL_UnavailTxt)</f>
        <v>0.120479409475952</v>
      </c>
      <c r="E249" s="72" t="n">
        <f aca="false">IF(AND(ISNUMBER(AL_BlendPaid),ISNUMBER(AL_BlendFree)),AL_DAPI/AL_BlendPaid+E248*SRC_DEM_012*1000000000*365/1000000*((1-AL_FreeShare)/AL_BlendPaid+AL_FreeShare/AL_BlendFree),AL_UnavailTxt)</f>
        <v>0.291034074157449</v>
      </c>
      <c r="F249" s="58" t="s">
        <v>147</v>
      </c>
      <c r="G249" s="93" t="s">
        <v>1626</v>
      </c>
    </row>
    <row r="250" customFormat="false" ht="29.85" hidden="false" customHeight="false" outlineLevel="0" collapsed="false">
      <c r="A250" s="6" t="s">
        <v>1627</v>
      </c>
      <c r="B250" s="61" t="s">
        <v>91</v>
      </c>
      <c r="C250" s="72" t="n">
        <f aca="false">IF(AND(ISNUMBER(AL_BlendPaid),ISNUMBER(AL_BlendFree)),AL_DAPI/AL_BlendPaid+CST_TokPerPromptV528*SRC_DEM_012*1000000000*365/1000000*((1-AL_FreeShare)/AL_BlendPaid+AL_FreeShare/AL_BlendFree),AL_UnavailTxt)</f>
        <v>0.120479409475952</v>
      </c>
      <c r="D250" s="72" t="n">
        <f aca="false">IF(AND(ISNUMBER(AL_BlendPaid),ISNUMBER(AL_BlendFree)),AL_DAPI/AL_BlendPaid+CST_TokPerPromptV528*SRC_DEM_012*1000000000*365/1000000*((1-AL_FreeShare)/AL_BlendPaid+AL_FreeShare/AL_BlendFree),AL_UnavailTxt)</f>
        <v>0.120479409475952</v>
      </c>
      <c r="E250" s="72" t="n">
        <f aca="false">IF(AND(ISNUMBER(AL_BlendPaid),ISNUMBER(AL_BlendFree)),AL_DAPI/AL_BlendPaid+CST_TokPerPromptV528*SRC_DEM_012*1000000000*365/1000000*((1-AL_FreeShare)/AL_BlendPaid+AL_FreeShare/AL_BlendFree),AL_UnavailTxt)</f>
        <v>0.120479409475952</v>
      </c>
      <c r="F250" s="58" t="s">
        <v>147</v>
      </c>
      <c r="G250" s="87" t="s">
        <v>1628</v>
      </c>
    </row>
    <row r="251" customFormat="false" ht="26.85" hidden="false" customHeight="false" outlineLevel="0" collapsed="false">
      <c r="A251" s="5" t="s">
        <v>1629</v>
      </c>
      <c r="B251" s="61" t="s">
        <v>103</v>
      </c>
      <c r="C251" s="106" t="n">
        <f aca="false">IF(AND(ISNUMBER(C249),ISNUMBER(C250)),C249/C250,AL_UnavailTxt)</f>
        <v>1.31458517900068</v>
      </c>
      <c r="D251" s="114" t="n">
        <f aca="false">IF(AND(ISNUMBER(D249),ISNUMBER(D250)),D249/D250,AL_UnavailTxt)</f>
        <v>1</v>
      </c>
      <c r="E251" s="114" t="n">
        <f aca="false">IF(AND(ISNUMBER(E249),ISNUMBER(E250)),E249/E250,AL_UnavailTxt)</f>
        <v>2.41563330550305</v>
      </c>
      <c r="F251" s="58" t="s">
        <v>147</v>
      </c>
      <c r="G251" s="93" t="s">
        <v>1630</v>
      </c>
    </row>
    <row r="252" customFormat="false" ht="29.85" hidden="false" customHeight="false" outlineLevel="0" collapsed="false">
      <c r="A252" s="5" t="s">
        <v>1631</v>
      </c>
      <c r="B252" s="61" t="s">
        <v>103</v>
      </c>
      <c r="C252" s="114" t="n">
        <f aca="false">IF(AND(ISNUMBER(C249),ISNUMBER(AL_ServeGW)),ABS(C249/AL_ServeGW-1),AL_UnavailTxt)</f>
        <v>0</v>
      </c>
      <c r="D252" s="61" t="s">
        <v>620</v>
      </c>
      <c r="E252" s="61" t="s">
        <v>620</v>
      </c>
      <c r="F252" s="58" t="s">
        <v>147</v>
      </c>
      <c r="G252" s="93" t="s">
        <v>1632</v>
      </c>
    </row>
    <row r="253" customFormat="false" ht="29.85" hidden="false" customHeight="false" outlineLevel="0" collapsed="false">
      <c r="A253" s="6" t="s">
        <v>1633</v>
      </c>
      <c r="B253" s="61" t="s">
        <v>103</v>
      </c>
      <c r="C253" s="114" t="n">
        <f aca="false">IF(AND(ISNUMBER(C250),ISNUMBER(AL_ServeGWSpend)),AL_ServeGWSpend/C250,AL_UnavailTxt)</f>
        <v>7.45435402551671</v>
      </c>
      <c r="D253" s="114" t="n">
        <f aca="false">C253</f>
        <v>7.45435402551671</v>
      </c>
      <c r="E253" s="114" t="n">
        <f aca="false">C253</f>
        <v>7.45435402551671</v>
      </c>
      <c r="F253" s="58" t="s">
        <v>147</v>
      </c>
      <c r="G253" s="87" t="s">
        <v>1634</v>
      </c>
    </row>
    <row r="254" customFormat="false" ht="15" hidden="false" customHeight="false" outlineLevel="0" collapsed="false">
      <c r="A254" s="10" t="s">
        <v>1635</v>
      </c>
    </row>
    <row r="255" customFormat="false" ht="39.55" hidden="false" customHeight="false" outlineLevel="0" collapsed="false">
      <c r="A255" s="5" t="s">
        <v>1636</v>
      </c>
      <c r="B255" s="61" t="s">
        <v>103</v>
      </c>
      <c r="C255" s="106" t="n">
        <f aca="false">IF(AND(ISNUMBER(L1_ScaleServe),ISNUMBER(AL_SpendBasis),ISNUMBER(AL_UtilActual),ISNUMBER(CTL_ProdDerate),ISNUMBER(AL_Kappa)),L1_ScaleServe/(AL_SpendBasis*IF_Util/((AL_UtilActual*CTL_ProdDerate)*AL_Kappa)),AL_UnavailTxt)</f>
        <v>3.87484102625841</v>
      </c>
      <c r="D255" s="61" t="s">
        <v>620</v>
      </c>
      <c r="E255" s="61" t="s">
        <v>620</v>
      </c>
      <c r="F255" s="58" t="s">
        <v>147</v>
      </c>
      <c r="G255" s="93" t="s">
        <v>1637</v>
      </c>
    </row>
    <row r="256" customFormat="false" ht="29.85" hidden="false" customHeight="false" outlineLevel="0" collapsed="false">
      <c r="A256" s="5" t="s">
        <v>1638</v>
      </c>
      <c r="B256" s="61" t="s">
        <v>103</v>
      </c>
      <c r="C256" s="114" t="n">
        <f aca="false">IF(AND(ISNUMBER(C255),ISNUMBER(C174)),C255-1/C174,AL_UnavailTxt)</f>
        <v>0</v>
      </c>
      <c r="D256" s="61" t="s">
        <v>620</v>
      </c>
      <c r="E256" s="61" t="s">
        <v>620</v>
      </c>
      <c r="F256" s="58" t="s">
        <v>147</v>
      </c>
      <c r="G256" s="87" t="s">
        <v>1639</v>
      </c>
    </row>
    <row r="257" customFormat="false" ht="15" hidden="false" customHeight="false" outlineLevel="0" collapsed="false">
      <c r="A257" s="10" t="s">
        <v>1640</v>
      </c>
    </row>
    <row r="258" customFormat="false" ht="29.85" hidden="false" customHeight="false" outlineLevel="0" collapsed="false">
      <c r="A258" s="6" t="s">
        <v>1641</v>
      </c>
      <c r="B258" s="61" t="s">
        <v>807</v>
      </c>
      <c r="C258" s="151" t="n">
        <v>2.722</v>
      </c>
      <c r="D258" s="66" t="n">
        <v>7</v>
      </c>
      <c r="E258" s="61" t="s">
        <v>620</v>
      </c>
      <c r="F258" s="58" t="s">
        <v>1642</v>
      </c>
      <c r="G258" s="93" t="s">
        <v>1643</v>
      </c>
    </row>
    <row r="259" customFormat="false" ht="29.85" hidden="false" customHeight="false" outlineLevel="0" collapsed="false">
      <c r="A259" s="6" t="s">
        <v>1644</v>
      </c>
      <c r="B259" s="61" t="s">
        <v>807</v>
      </c>
      <c r="C259" s="151" t="n">
        <v>1.672</v>
      </c>
      <c r="D259" s="66" t="n">
        <v>4</v>
      </c>
      <c r="E259" s="61" t="s">
        <v>620</v>
      </c>
      <c r="F259" s="58" t="s">
        <v>1642</v>
      </c>
      <c r="G259" s="93" t="s">
        <v>1645</v>
      </c>
    </row>
    <row r="260" customFormat="false" ht="29.85" hidden="false" customHeight="false" outlineLevel="0" collapsed="false">
      <c r="A260" s="6" t="s">
        <v>1646</v>
      </c>
      <c r="B260" s="61" t="s">
        <v>807</v>
      </c>
      <c r="C260" s="151" t="n">
        <v>2.341</v>
      </c>
      <c r="D260" s="66" t="n">
        <v>1</v>
      </c>
      <c r="E260" s="61" t="s">
        <v>620</v>
      </c>
      <c r="F260" s="58" t="s">
        <v>1642</v>
      </c>
      <c r="G260" s="93" t="s">
        <v>1647</v>
      </c>
    </row>
    <row r="261" customFormat="false" ht="26.85" hidden="false" customHeight="false" outlineLevel="0" collapsed="false">
      <c r="A261" s="6" t="s">
        <v>1648</v>
      </c>
      <c r="B261" s="61" t="s">
        <v>807</v>
      </c>
      <c r="C261" s="126" t="n">
        <f aca="false">IF_PriceRef_Sol/(1-B4_Disc)</f>
        <v>2.00888888888889</v>
      </c>
      <c r="D261" s="61" t="s">
        <v>620</v>
      </c>
      <c r="E261" s="61" t="s">
        <v>620</v>
      </c>
      <c r="F261" s="58" t="s">
        <v>300</v>
      </c>
      <c r="G261" s="87" t="s">
        <v>1649</v>
      </c>
    </row>
    <row r="262" customFormat="false" ht="15" hidden="false" customHeight="false" outlineLevel="0" collapsed="false">
      <c r="A262" s="6" t="s">
        <v>1650</v>
      </c>
      <c r="B262" s="61" t="s">
        <v>807</v>
      </c>
      <c r="C262" s="126" t="n">
        <f aca="false">(C258*D258+C259*D259+C260*D260)/(D258+D259+D260)</f>
        <v>2.34025</v>
      </c>
      <c r="D262" s="61" t="s">
        <v>620</v>
      </c>
      <c r="E262" s="61" t="s">
        <v>620</v>
      </c>
      <c r="F262" s="58" t="s">
        <v>147</v>
      </c>
      <c r="G262" s="87" t="s">
        <v>1651</v>
      </c>
    </row>
    <row r="263" customFormat="false" ht="44" hidden="false" customHeight="false" outlineLevel="0" collapsed="false">
      <c r="A263" s="5" t="s">
        <v>1652</v>
      </c>
      <c r="B263" s="61" t="s">
        <v>103</v>
      </c>
      <c r="C263" s="106" t="n">
        <f aca="false">C262/C261</f>
        <v>1.16494745575221</v>
      </c>
      <c r="D263" s="114" t="n">
        <f aca="false">MIN(C258,C259,C260)/C261</f>
        <v>0.832300884955752</v>
      </c>
      <c r="E263" s="114" t="n">
        <f aca="false">MAX(C258,C259,C260)/C261</f>
        <v>1.35497787610619</v>
      </c>
      <c r="F263" s="58" t="s">
        <v>147</v>
      </c>
      <c r="G263" s="93" t="s">
        <v>1653</v>
      </c>
    </row>
    <row r="264" customFormat="false" ht="15" hidden="false" customHeight="false" outlineLevel="0" collapsed="false">
      <c r="A264" s="73" t="s">
        <v>1654</v>
      </c>
    </row>
    <row r="266" customFormat="false" ht="15" hidden="false" customHeight="false" outlineLevel="0" collapsed="false">
      <c r="A266" s="10" t="s">
        <v>1655</v>
      </c>
    </row>
    <row r="267" customFormat="false" ht="29.85" hidden="false" customHeight="false" outlineLevel="0" collapsed="false">
      <c r="A267" s="5" t="s">
        <v>1656</v>
      </c>
      <c r="B267" s="61" t="s">
        <v>807</v>
      </c>
      <c r="C267" s="152" t="n">
        <f aca="false">AL_PriceFleet</f>
        <v>1.58444748624066</v>
      </c>
      <c r="D267" s="72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1.86272878207596</v>
      </c>
      <c r="E267" s="72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1.86272878207596</v>
      </c>
      <c r="F267" s="72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1.86272878207596</v>
      </c>
      <c r="G267" s="58" t="s">
        <v>1657</v>
      </c>
    </row>
    <row r="268" customFormat="false" ht="29.85" hidden="false" customHeight="false" outlineLevel="0" collapsed="false">
      <c r="A268" s="5" t="s">
        <v>1658</v>
      </c>
      <c r="B268" s="61" t="s">
        <v>807</v>
      </c>
      <c r="C268" s="72" t="n">
        <f aca="false">$C$90</f>
        <v>1.96067555555556</v>
      </c>
      <c r="D268" s="72" t="n">
        <f aca="false">$C$90</f>
        <v>1.96067555555556</v>
      </c>
      <c r="E268" s="72" t="n">
        <f aca="false">$C$90</f>
        <v>1.96067555555556</v>
      </c>
      <c r="F268" s="72" t="n">
        <f aca="false">$C$90</f>
        <v>1.96067555555556</v>
      </c>
    </row>
    <row r="269" customFormat="false" ht="15" hidden="false" customHeight="false" outlineLevel="0" collapsed="false">
      <c r="A269" s="5" t="s">
        <v>1659</v>
      </c>
      <c r="B269" s="61" t="s">
        <v>103</v>
      </c>
      <c r="C269" s="72" t="n">
        <f aca="false">IF(ISNUMBER(C267),C267/C268,C267)</f>
        <v>0.808113041319428</v>
      </c>
      <c r="D269" s="72" t="n">
        <f aca="false">IF(ISNUMBER(D267),D267/D268,D267)</f>
        <v>0.950044374653386</v>
      </c>
      <c r="E269" s="72" t="n">
        <f aca="false">IF(ISNUMBER(E267),E267/E268,E267)</f>
        <v>0.950044374653386</v>
      </c>
      <c r="F269" s="72" t="n">
        <f aca="false">IF(ISNUMBER(F267),F267/F268,F267)</f>
        <v>0.950044374653386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7" t="s">
        <v>1660</v>
      </c>
    </row>
    <row r="2" customFormat="false" ht="15" hidden="false" customHeight="false" outlineLevel="0" collapsed="false">
      <c r="A2" s="73" t="s">
        <v>1661</v>
      </c>
    </row>
    <row r="4" customFormat="false" ht="15" hidden="false" customHeight="false" outlineLevel="0" collapsed="false">
      <c r="A4" s="75" t="s">
        <v>1662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59" t="s">
        <v>370</v>
      </c>
      <c r="B5" s="59" t="s">
        <v>83</v>
      </c>
      <c r="C5" s="10" t="s">
        <v>262</v>
      </c>
      <c r="D5" s="10" t="s">
        <v>263</v>
      </c>
      <c r="E5" s="10" t="s">
        <v>264</v>
      </c>
      <c r="G5" s="59" t="s">
        <v>338</v>
      </c>
    </row>
    <row r="6" customFormat="false" ht="15" hidden="false" customHeight="false" outlineLevel="0" collapsed="false">
      <c r="A6" s="5" t="s">
        <v>1663</v>
      </c>
      <c r="B6" s="61" t="s">
        <v>314</v>
      </c>
      <c r="C6" s="153" t="n">
        <f aca="false">Training!L109</f>
        <v>4.80829842560294E+024</v>
      </c>
      <c r="D6" s="153" t="n">
        <f aca="false">Training!M109</f>
        <v>1.6345355852516E+025</v>
      </c>
      <c r="E6" s="153" t="n">
        <f aca="false">Training!N109</f>
        <v>1.0080164477952E+026</v>
      </c>
      <c r="G6" s="87" t="s">
        <v>1664</v>
      </c>
    </row>
    <row r="7" customFormat="false" ht="15" hidden="false" customHeight="false" outlineLevel="0" collapsed="false">
      <c r="A7" s="6" t="s">
        <v>1665</v>
      </c>
      <c r="B7" s="60"/>
      <c r="C7" s="76" t="n">
        <f aca="false">LN(C6)/LN(10)</f>
        <v>24.6819914141882</v>
      </c>
      <c r="D7" s="76" t="n">
        <f aca="false">LN(D6)/LN(10)</f>
        <v>25.2133943799853</v>
      </c>
      <c r="E7" s="76" t="n">
        <f aca="false">LN(E6)/LN(10)</f>
        <v>26.0034676185464</v>
      </c>
      <c r="G7" s="93"/>
    </row>
    <row r="8" customFormat="false" ht="15" hidden="false" customHeight="false" outlineLevel="0" collapsed="false">
      <c r="A8" s="5" t="s">
        <v>1666</v>
      </c>
      <c r="B8" s="60" t="s">
        <v>1667</v>
      </c>
      <c r="C8" s="89" t="n">
        <f aca="false">Price_Frontier!C23</f>
        <v>37</v>
      </c>
      <c r="D8" s="89" t="n">
        <f aca="false">Price_Frontier!D23</f>
        <v>48</v>
      </c>
      <c r="E8" s="89" t="n">
        <f aca="false">Price_Frontier!E23</f>
        <v>53</v>
      </c>
      <c r="G8" s="87" t="s">
        <v>1668</v>
      </c>
    </row>
    <row r="9" customFormat="false" ht="15" hidden="false" customHeight="false" outlineLevel="0" collapsed="false">
      <c r="A9" s="5" t="s">
        <v>1669</v>
      </c>
      <c r="B9" s="60" t="s">
        <v>1670</v>
      </c>
      <c r="C9" s="86" t="str">
        <f aca="false">"—"</f>
        <v>—</v>
      </c>
      <c r="D9" s="86" t="n">
        <f aca="false">(D8-C8)/(D7-C7)</f>
        <v>20.6999221080754</v>
      </c>
      <c r="E9" s="86" t="n">
        <f aca="false">(E8-D8)/(E7-D7)</f>
        <v>6.328527225028</v>
      </c>
      <c r="G9" s="87" t="s">
        <v>1671</v>
      </c>
    </row>
    <row r="10" customFormat="false" ht="15" hidden="false" customHeight="false" outlineLevel="0" collapsed="false">
      <c r="A10" s="5" t="s">
        <v>1672</v>
      </c>
      <c r="B10" s="61" t="s">
        <v>103</v>
      </c>
      <c r="C10" s="86" t="str">
        <f aca="false">"—"</f>
        <v>—</v>
      </c>
      <c r="D10" s="108" t="n">
        <f aca="false">Price_Frontier!D24/Price_Frontier!C24</f>
        <v>20</v>
      </c>
      <c r="E10" s="108" t="n">
        <f aca="false">Price_Frontier!E24/Price_Frontier!D24</f>
        <v>5</v>
      </c>
      <c r="G10" s="87" t="s">
        <v>1673</v>
      </c>
    </row>
    <row r="11" customFormat="false" ht="15" hidden="false" customHeight="false" outlineLevel="0" collapsed="false">
      <c r="A11" s="5" t="s">
        <v>1674</v>
      </c>
      <c r="B11" s="61" t="s">
        <v>103</v>
      </c>
      <c r="C11" s="86" t="str">
        <f aca="false">"—"</f>
        <v>—</v>
      </c>
      <c r="D11" s="86" t="n">
        <f aca="false">INDEX(IF_CostDec_Sol,1,11)/INDEX(IF_CostDec_Luna,1,11)</f>
        <v>3.17671716926718</v>
      </c>
      <c r="E11" s="86" t="n">
        <f aca="false">INDEX(IF_CostDec_Astra,1,11)/INDEX(IF_CostDec_Sol,1,11)</f>
        <v>5.17639214026871</v>
      </c>
      <c r="G11" s="93" t="s">
        <v>1675</v>
      </c>
    </row>
    <row r="13" customFormat="false" ht="15" hidden="false" customHeight="false" outlineLevel="0" collapsed="false">
      <c r="A13" s="75" t="s">
        <v>1676</v>
      </c>
      <c r="B13" s="69"/>
      <c r="C13" s="69"/>
      <c r="D13" s="69"/>
      <c r="E13" s="69"/>
      <c r="F13" s="69"/>
      <c r="G13" s="69"/>
    </row>
    <row r="14" customFormat="false" ht="26.85" hidden="false" customHeight="false" outlineLevel="0" collapsed="false">
      <c r="A14" s="60" t="s">
        <v>1677</v>
      </c>
      <c r="B14" s="61" t="s">
        <v>103</v>
      </c>
      <c r="C14" s="154" t="n">
        <f aca="false">Train_In!$C$47/E6</f>
        <v>4.96023652286263</v>
      </c>
      <c r="G14" s="93" t="s">
        <v>1678</v>
      </c>
    </row>
    <row r="16" customFormat="false" ht="15" hidden="false" customHeight="false" outlineLevel="0" collapsed="false">
      <c r="A16" s="75" t="s">
        <v>1679</v>
      </c>
      <c r="B16" s="69"/>
      <c r="C16" s="69"/>
      <c r="D16" s="69"/>
      <c r="E16" s="69"/>
      <c r="F16" s="69"/>
      <c r="G16" s="69"/>
    </row>
    <row r="17" customFormat="false" ht="15" hidden="false" customHeight="false" outlineLevel="0" collapsed="false">
      <c r="A17" s="58" t="s">
        <v>1680</v>
      </c>
    </row>
    <row r="18" customFormat="false" ht="15" hidden="false" customHeight="false" outlineLevel="0" collapsed="false">
      <c r="A18" s="58" t="s">
        <v>1681</v>
      </c>
    </row>
    <row r="19" customFormat="false" ht="15" hidden="false" customHeight="false" outlineLevel="0" collapsed="false">
      <c r="A19" s="58" t="s">
        <v>1682</v>
      </c>
    </row>
    <row r="20" customFormat="false" ht="15" hidden="false" customHeight="false" outlineLevel="0" collapsed="false">
      <c r="A20" s="58" t="s">
        <v>1683</v>
      </c>
    </row>
    <row r="21" customFormat="false" ht="15" hidden="false" customHeight="false" outlineLevel="0" collapsed="false">
      <c r="A21" s="58" t="s">
        <v>1684</v>
      </c>
    </row>
    <row r="22" customFormat="false" ht="15" hidden="false" customHeight="false" outlineLevel="0" collapsed="false">
      <c r="A22" s="58" t="s">
        <v>1685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7" t="s">
        <v>1686</v>
      </c>
    </row>
    <row r="2" customFormat="false" ht="15" hidden="false" customHeight="false" outlineLevel="0" collapsed="false">
      <c r="A2" s="73" t="s">
        <v>1687</v>
      </c>
    </row>
    <row r="4" customFormat="false" ht="15" hidden="false" customHeight="false" outlineLevel="0" collapsed="false">
      <c r="A4" s="75" t="s">
        <v>1688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</row>
    <row r="5" customFormat="false" ht="30" hidden="false" customHeight="true" outlineLevel="0" collapsed="false">
      <c r="A5" s="83" t="s">
        <v>1199</v>
      </c>
      <c r="B5" s="83" t="s">
        <v>1201</v>
      </c>
      <c r="C5" s="83" t="s">
        <v>1207</v>
      </c>
      <c r="D5" s="83" t="s">
        <v>1689</v>
      </c>
      <c r="E5" s="83" t="s">
        <v>1143</v>
      </c>
      <c r="F5" s="83" t="s">
        <v>1145</v>
      </c>
      <c r="G5" s="83" t="s">
        <v>1690</v>
      </c>
      <c r="H5" s="83" t="s">
        <v>1691</v>
      </c>
      <c r="I5" s="83" t="s">
        <v>1692</v>
      </c>
      <c r="J5" s="83" t="s">
        <v>1693</v>
      </c>
      <c r="K5" s="83" t="s">
        <v>1694</v>
      </c>
      <c r="L5" s="83" t="s">
        <v>1695</v>
      </c>
      <c r="M5" s="83" t="s">
        <v>1696</v>
      </c>
      <c r="N5" s="83" t="s">
        <v>1697</v>
      </c>
      <c r="O5" s="83" t="s">
        <v>1698</v>
      </c>
      <c r="P5" s="83" t="s">
        <v>1699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89" t="n">
        <f aca="false">IF(ISNUMBER(Cap_In!I46),Cap_In!I46,"—")</f>
        <v>37</v>
      </c>
      <c r="D6" s="117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5" t="n">
        <f aca="false">(INDEX(B4_ISL,1,1)*((1-B4_CacheHit)*E6+B4_CacheHit*F6)+INDEX(B4_OSL,1,1)*G6)/(INDEX(B4_ISL,1,1)+INDEX(B4_OSL,1,1))</f>
        <v>0.100444444444444</v>
      </c>
      <c r="I6" s="115" t="n">
        <f aca="false">(INDEX(B4_ISL,1,2)*((1-B4_CacheHit)*E6+B4_CacheHit*F6)+INDEX(B4_OSL,1,2)*G6)/(INDEX(B4_ISL,1,2)+INDEX(B4_OSL,1,2))</f>
        <v>0.100444444444444</v>
      </c>
      <c r="J6" s="115" t="n">
        <f aca="false">(INDEX(B4_ISL,1,3)*((1-B4_CacheHit)*E6+B4_CacheHit*F6)+INDEX(B4_OSL,1,3)*G6)/(INDEX(B4_ISL,1,3)+INDEX(B4_OSL,1,3))</f>
        <v>0.100444444444444</v>
      </c>
      <c r="K6" s="115" t="n">
        <f aca="false">IF(AND(ISNUMBER(C6),ISNUMBER($C$6)),IF(C6&gt;=$C$6,H6,1000000000),1000000000)</f>
        <v>0.100444444444444</v>
      </c>
      <c r="L6" s="115" t="n">
        <f aca="false">IF(AND(ISNUMBER(C6),ISNUMBER($C$7)),IF(C6&gt;=$C$7,I6,1000000000),1000000000)</f>
        <v>1000000000</v>
      </c>
      <c r="M6" s="115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89" t="n">
        <f aca="false">IF(ISNUMBER(Cap_In!I47),Cap_In!I47,"—")</f>
        <v>48</v>
      </c>
      <c r="D7" s="117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5" t="n">
        <f aca="false">(INDEX(B4_ISL,1,1)*((1-B4_CacheHit)*E7+B4_CacheHit*F7)+INDEX(B4_OSL,1,1)*G7)/(INDEX(B4_ISL,1,1)+INDEX(B4_OSL,1,1))</f>
        <v>2.00888888888889</v>
      </c>
      <c r="I7" s="115" t="n">
        <f aca="false">(INDEX(B4_ISL,1,2)*((1-B4_CacheHit)*E7+B4_CacheHit*F7)+INDEX(B4_OSL,1,2)*G7)/(INDEX(B4_ISL,1,2)+INDEX(B4_OSL,1,2))</f>
        <v>2.00888888888889</v>
      </c>
      <c r="J7" s="115" t="n">
        <f aca="false">(INDEX(B4_ISL,1,3)*((1-B4_CacheHit)*E7+B4_CacheHit*F7)+INDEX(B4_OSL,1,3)*G7)/(INDEX(B4_ISL,1,3)+INDEX(B4_OSL,1,3))</f>
        <v>2.00888888888889</v>
      </c>
      <c r="K7" s="115" t="n">
        <f aca="false">IF(AND(ISNUMBER(C7),ISNUMBER($C$6)),IF(C7&gt;=$C$6,H7,1000000000),1000000000)</f>
        <v>2.00888888888889</v>
      </c>
      <c r="L7" s="115" t="n">
        <f aca="false">IF(AND(ISNUMBER(C7),ISNUMBER($C$7)),IF(C7&gt;=$C$7,I7,1000000000),1000000000)</f>
        <v>2.00888888888889</v>
      </c>
      <c r="M7" s="115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89" t="n">
        <f aca="false">IF(ISNUMBER(Cap_In!I48),Cap_In!I48,"—")</f>
        <v>53</v>
      </c>
      <c r="D8" s="117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5" t="n">
        <f aca="false">(INDEX(B4_ISL,1,1)*((1-B4_CacheHit)*E8+B4_CacheHit*F8)+INDEX(B4_OSL,1,1)*G8)/(INDEX(B4_ISL,1,1)+INDEX(B4_OSL,1,1))</f>
        <v>10.0444444444444</v>
      </c>
      <c r="I8" s="115" t="n">
        <f aca="false">(INDEX(B4_ISL,1,2)*((1-B4_CacheHit)*E8+B4_CacheHit*F8)+INDEX(B4_OSL,1,2)*G8)/(INDEX(B4_ISL,1,2)+INDEX(B4_OSL,1,2))</f>
        <v>10.0444444444444</v>
      </c>
      <c r="J8" s="115" t="n">
        <f aca="false">(INDEX(B4_ISL,1,3)*((1-B4_CacheHit)*E8+B4_CacheHit*F8)+INDEX(B4_OSL,1,3)*G8)/(INDEX(B4_ISL,1,3)+INDEX(B4_OSL,1,3))</f>
        <v>10.0444444444444</v>
      </c>
      <c r="K8" s="115" t="n">
        <f aca="false">IF(AND(ISNUMBER(C8),ISNUMBER($C$6)),IF(C8&gt;=$C$6,H8,1000000000),1000000000)</f>
        <v>10.0444444444444</v>
      </c>
      <c r="L8" s="115" t="n">
        <f aca="false">IF(AND(ISNUMBER(C8),ISNUMBER($C$7)),IF(C8&gt;=$C$7,I8,1000000000),1000000000)</f>
        <v>10.0444444444444</v>
      </c>
      <c r="M8" s="115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89" t="n">
        <f aca="false">IF(ISNUMBER(Cap_In!I49),Cap_In!I49,"—")</f>
        <v>53</v>
      </c>
      <c r="D9" s="117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5" t="n">
        <f aca="false">(INDEX(B4_ISL,1,1)*((1-B4_CacheHit)*E9+B4_CacheHit*F9)+INDEX(B4_OSL,1,1)*G9)/(INDEX(B4_ISL,1,1)+INDEX(B4_OSL,1,1))</f>
        <v>9.67777777777778</v>
      </c>
      <c r="I9" s="115" t="n">
        <f aca="false">(INDEX(B4_ISL,1,2)*((1-B4_CacheHit)*E9+B4_CacheHit*F9)+INDEX(B4_OSL,1,2)*G9)/(INDEX(B4_ISL,1,2)+INDEX(B4_OSL,1,2))</f>
        <v>9.67777777777778</v>
      </c>
      <c r="J9" s="115" t="n">
        <f aca="false">(INDEX(B4_ISL,1,3)*((1-B4_CacheHit)*E9+B4_CacheHit*F9)+INDEX(B4_OSL,1,3)*G9)/(INDEX(B4_ISL,1,3)+INDEX(B4_OSL,1,3))</f>
        <v>9.67777777777778</v>
      </c>
      <c r="K9" s="115" t="n">
        <f aca="false">IF(AND(ISNUMBER(C9),ISNUMBER($C$6)),IF(C9&gt;=$C$6,H9,1000000000),1000000000)</f>
        <v>9.67777777777778</v>
      </c>
      <c r="L9" s="115" t="n">
        <f aca="false">IF(AND(ISNUMBER(C9),ISNUMBER($C$7)),IF(C9&gt;=$C$7,I9,1000000000),1000000000)</f>
        <v>9.67777777777778</v>
      </c>
      <c r="M9" s="115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89" t="n">
        <f aca="false">IF(ISNUMBER(Cap_In!I50),Cap_In!I50,"—")</f>
        <v>51</v>
      </c>
      <c r="D10" s="117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5" t="n">
        <f aca="false">(INDEX(B4_ISL,1,1)*((1-B4_CacheHit)*E10+B4_CacheHit*F10)+INDEX(B4_OSL,1,1)*G10)/(INDEX(B4_ISL,1,1)+INDEX(B4_OSL,1,1))</f>
        <v>5.02222222222222</v>
      </c>
      <c r="I10" s="115" t="n">
        <f aca="false">(INDEX(B4_ISL,1,2)*((1-B4_CacheHit)*E10+B4_CacheHit*F10)+INDEX(B4_OSL,1,2)*G10)/(INDEX(B4_ISL,1,2)+INDEX(B4_OSL,1,2))</f>
        <v>5.02222222222222</v>
      </c>
      <c r="J10" s="115" t="n">
        <f aca="false">(INDEX(B4_ISL,1,3)*((1-B4_CacheHit)*E10+B4_CacheHit*F10)+INDEX(B4_OSL,1,3)*G10)/(INDEX(B4_ISL,1,3)+INDEX(B4_OSL,1,3))</f>
        <v>5.02222222222222</v>
      </c>
      <c r="K10" s="115" t="n">
        <f aca="false">IF(AND(ISNUMBER(C10),ISNUMBER($C$6)),IF(C10&gt;=$C$6,H10,1000000000),1000000000)</f>
        <v>5.02222222222222</v>
      </c>
      <c r="L10" s="115" t="n">
        <f aca="false">IF(AND(ISNUMBER(C10),ISNUMBER($C$7)),IF(C10&gt;=$C$7,I10,1000000000),1000000000)</f>
        <v>5.02222222222222</v>
      </c>
      <c r="M10" s="115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89" t="str">
        <f aca="false">IF(ISNUMBER(Cap_In!I51),Cap_In!I51,"—")</f>
        <v>—</v>
      </c>
      <c r="D11" s="117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5" t="n">
        <f aca="false">(INDEX(B4_ISL,1,1)*((1-B4_CacheHit)*E11+B4_CacheHit*F11)+INDEX(B4_OSL,1,1)*G11)/(INDEX(B4_ISL,1,1)+INDEX(B4_OSL,1,1))</f>
        <v>3.92</v>
      </c>
      <c r="I11" s="115" t="n">
        <f aca="false">(INDEX(B4_ISL,1,2)*((1-B4_CacheHit)*E11+B4_CacheHit*F11)+INDEX(B4_OSL,1,2)*G11)/(INDEX(B4_ISL,1,2)+INDEX(B4_OSL,1,2))</f>
        <v>3.92</v>
      </c>
      <c r="J11" s="115" t="n">
        <f aca="false">(INDEX(B4_ISL,1,3)*((1-B4_CacheHit)*E11+B4_CacheHit*F11)+INDEX(B4_OSL,1,3)*G11)/(INDEX(B4_ISL,1,3)+INDEX(B4_OSL,1,3))</f>
        <v>3.92</v>
      </c>
      <c r="K11" s="115" t="n">
        <f aca="false">IF(AND(ISNUMBER(C11),ISNUMBER($C$6)),IF(C11&gt;=$C$6,H11,1000000000),1000000000)</f>
        <v>1000000000</v>
      </c>
      <c r="L11" s="115" t="n">
        <f aca="false">IF(AND(ISNUMBER(C11),ISNUMBER($C$7)),IF(C11&gt;=$C$7,I11,1000000000),1000000000)</f>
        <v>1000000000</v>
      </c>
      <c r="M11" s="115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89" t="n">
        <f aca="false">IF(ISNUMBER(Cap_In!I52),Cap_In!I52,"—")</f>
        <v>39</v>
      </c>
      <c r="D12" s="117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5" t="n">
        <f aca="false">(INDEX(B4_ISL,1,1)*((1-B4_CacheHit)*E12+B4_CacheHit*F12)+INDEX(B4_OSL,1,1)*G12)/(INDEX(B4_ISL,1,1)+INDEX(B4_OSL,1,1))</f>
        <v>0.154827777777778</v>
      </c>
      <c r="I12" s="115" t="n">
        <f aca="false">(INDEX(B4_ISL,1,2)*((1-B4_CacheHit)*E12+B4_CacheHit*F12)+INDEX(B4_OSL,1,2)*G12)/(INDEX(B4_ISL,1,2)+INDEX(B4_OSL,1,2))</f>
        <v>0.154827777777778</v>
      </c>
      <c r="J12" s="115" t="n">
        <f aca="false">(INDEX(B4_ISL,1,3)*((1-B4_CacheHit)*E12+B4_CacheHit*F12)+INDEX(B4_OSL,1,3)*G12)/(INDEX(B4_ISL,1,3)+INDEX(B4_OSL,1,3))</f>
        <v>0.154827777777778</v>
      </c>
      <c r="K12" s="115" t="n">
        <f aca="false">IF(AND(ISNUMBER(C12),ISNUMBER($C$6)),IF(C12&gt;=$C$6,H12,1000000000),1000000000)</f>
        <v>0.154827777777778</v>
      </c>
      <c r="L12" s="115" t="n">
        <f aca="false">IF(AND(ISNUMBER(C12),ISNUMBER($C$7)),IF(C12&gt;=$C$7,I12,1000000000),1000000000)</f>
        <v>1000000000</v>
      </c>
      <c r="M12" s="115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89" t="n">
        <f aca="false">IF(ISNUMBER(Cap_In!I53),Cap_In!I53,"—")</f>
        <v>36</v>
      </c>
      <c r="D13" s="117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5" t="n">
        <f aca="false">(INDEX(B4_ISL,1,1)*((1-B4_CacheHit)*E13+B4_CacheHit*F13)+INDEX(B4_OSL,1,1)*G13)/(INDEX(B4_ISL,1,1)+INDEX(B4_OSL,1,1))</f>
        <v>0.59782962962963</v>
      </c>
      <c r="I13" s="115" t="n">
        <f aca="false">(INDEX(B4_ISL,1,2)*((1-B4_CacheHit)*E13+B4_CacheHit*F13)+INDEX(B4_OSL,1,2)*G13)/(INDEX(B4_ISL,1,2)+INDEX(B4_OSL,1,2))</f>
        <v>0.59782962962963</v>
      </c>
      <c r="J13" s="115" t="n">
        <f aca="false">(INDEX(B4_ISL,1,3)*((1-B4_CacheHit)*E13+B4_CacheHit*F13)+INDEX(B4_OSL,1,3)*G13)/(INDEX(B4_ISL,1,3)+INDEX(B4_OSL,1,3))</f>
        <v>0.59782962962963</v>
      </c>
      <c r="K13" s="115" t="n">
        <f aca="false">IF(AND(ISNUMBER(C13),ISNUMBER($C$6)),IF(C13&gt;=$C$6,H13,1000000000),1000000000)</f>
        <v>1000000000</v>
      </c>
      <c r="L13" s="115" t="n">
        <f aca="false">IF(AND(ISNUMBER(C13),ISNUMBER($C$7)),IF(C13&gt;=$C$7,I13,1000000000),1000000000)</f>
        <v>1000000000</v>
      </c>
      <c r="M13" s="115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89" t="n">
        <f aca="false">IF(ISNUMBER(Cap_In!I54),Cap_In!I54,"—")</f>
        <v>45</v>
      </c>
      <c r="D14" s="117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5" t="n">
        <f aca="false">(INDEX(B4_ISL,1,1)*((1-B4_CacheHit)*E14+B4_CacheHit*F14)+INDEX(B4_OSL,1,1)*G14)/(INDEX(B4_ISL,1,1)+INDEX(B4_OSL,1,1))</f>
        <v>1.176</v>
      </c>
      <c r="I14" s="115" t="n">
        <f aca="false">(INDEX(B4_ISL,1,2)*((1-B4_CacheHit)*E14+B4_CacheHit*F14)+INDEX(B4_OSL,1,2)*G14)/(INDEX(B4_ISL,1,2)+INDEX(B4_OSL,1,2))</f>
        <v>1.176</v>
      </c>
      <c r="J14" s="115" t="n">
        <f aca="false">(INDEX(B4_ISL,1,3)*((1-B4_CacheHit)*E14+B4_CacheHit*F14)+INDEX(B4_OSL,1,3)*G14)/(INDEX(B4_ISL,1,3)+INDEX(B4_OSL,1,3))</f>
        <v>1.176</v>
      </c>
      <c r="K14" s="115" t="n">
        <f aca="false">IF(AND(ISNUMBER(C14),ISNUMBER($C$6)),IF(C14&gt;=$C$6,H14,1000000000),1000000000)</f>
        <v>1.176</v>
      </c>
      <c r="L14" s="115" t="n">
        <f aca="false">IF(AND(ISNUMBER(C14),ISNUMBER($C$7)),IF(C14&gt;=$C$7,I14,1000000000),1000000000)</f>
        <v>1000000000</v>
      </c>
      <c r="M14" s="115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89" t="n">
        <f aca="false">IF(ISNUMBER(Cap_In!I55),Cap_In!I55,"—")</f>
        <v>42</v>
      </c>
      <c r="D15" s="117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5" t="n">
        <f aca="false">(INDEX(B4_ISL,1,1)*((1-B4_CacheHit)*E15+B4_CacheHit*F15)+INDEX(B4_OSL,1,1)*G15)/(INDEX(B4_ISL,1,1)+INDEX(B4_OSL,1,1))</f>
        <v>0.130222222222222</v>
      </c>
      <c r="I15" s="115" t="n">
        <f aca="false">(INDEX(B4_ISL,1,2)*((1-B4_CacheHit)*E15+B4_CacheHit*F15)+INDEX(B4_OSL,1,2)*G15)/(INDEX(B4_ISL,1,2)+INDEX(B4_OSL,1,2))</f>
        <v>0.130222222222222</v>
      </c>
      <c r="J15" s="115" t="n">
        <f aca="false">(INDEX(B4_ISL,1,3)*((1-B4_CacheHit)*E15+B4_CacheHit*F15)+INDEX(B4_OSL,1,3)*G15)/(INDEX(B4_ISL,1,3)+INDEX(B4_OSL,1,3))</f>
        <v>0.130222222222222</v>
      </c>
      <c r="K15" s="115" t="n">
        <f aca="false">IF(AND(ISNUMBER(C15),ISNUMBER($C$6)),IF(C15&gt;=$C$6,H15,1000000000),1000000000)</f>
        <v>0.130222222222222</v>
      </c>
      <c r="L15" s="115" t="n">
        <f aca="false">IF(AND(ISNUMBER(C15),ISNUMBER($C$7)),IF(C15&gt;=$C$7,I15,1000000000),1000000000)</f>
        <v>1000000000</v>
      </c>
      <c r="M15" s="115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89" t="n">
        <f aca="false">IF(ISNUMBER(Cap_In!I56),Cap_In!I56,"—")</f>
        <v>40</v>
      </c>
      <c r="D16" s="117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5" t="n">
        <f aca="false">(INDEX(B4_ISL,1,1)*((1-B4_CacheHit)*E16+B4_CacheHit*F16)+INDEX(B4_OSL,1,1)*G16)/(INDEX(B4_ISL,1,1)+INDEX(B4_OSL,1,1))</f>
        <v>1.58888888888889</v>
      </c>
      <c r="I16" s="115" t="n">
        <f aca="false">(INDEX(B4_ISL,1,2)*((1-B4_CacheHit)*E16+B4_CacheHit*F16)+INDEX(B4_OSL,1,2)*G16)/(INDEX(B4_ISL,1,2)+INDEX(B4_OSL,1,2))</f>
        <v>1.58888888888889</v>
      </c>
      <c r="J16" s="115" t="n">
        <f aca="false">(INDEX(B4_ISL,1,3)*((1-B4_CacheHit)*E16+B4_CacheHit*F16)+INDEX(B4_OSL,1,3)*G16)/(INDEX(B4_ISL,1,3)+INDEX(B4_OSL,1,3))</f>
        <v>1.58888888888889</v>
      </c>
      <c r="K16" s="115" t="n">
        <f aca="false">IF(AND(ISNUMBER(C16),ISNUMBER($C$6)),IF(C16&gt;=$C$6,H16,1000000000),1000000000)</f>
        <v>1.58888888888889</v>
      </c>
      <c r="L16" s="115" t="n">
        <f aca="false">IF(AND(ISNUMBER(C16),ISNUMBER($C$7)),IF(C16&gt;=$C$7,I16,1000000000),1000000000)</f>
        <v>1000000000</v>
      </c>
      <c r="M16" s="115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89" t="str">
        <f aca="false">IF(ISNUMBER(Cap_In!I57),Cap_In!I57,"—")</f>
        <v>—</v>
      </c>
      <c r="D17" s="117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5" t="n">
        <f aca="false">(INDEX(B4_ISL,1,1)*((1-B4_CacheHit)*E17+B4_CacheHit*F17)+INDEX(B4_OSL,1,1)*G17)/(INDEX(B4_ISL,1,1)+INDEX(B4_OSL,1,1))</f>
        <v>3.01333333333333</v>
      </c>
      <c r="I17" s="115" t="n">
        <f aca="false">(INDEX(B4_ISL,1,2)*((1-B4_CacheHit)*E17+B4_CacheHit*F17)+INDEX(B4_OSL,1,2)*G17)/(INDEX(B4_ISL,1,2)+INDEX(B4_OSL,1,2))</f>
        <v>3.01333333333333</v>
      </c>
      <c r="J17" s="115" t="n">
        <f aca="false">(INDEX(B4_ISL,1,3)*((1-B4_CacheHit)*E17+B4_CacheHit*F17)+INDEX(B4_OSL,1,3)*G17)/(INDEX(B4_ISL,1,3)+INDEX(B4_OSL,1,3))</f>
        <v>3.01333333333333</v>
      </c>
      <c r="K17" s="115" t="n">
        <f aca="false">IF(AND(ISNUMBER(C17),ISNUMBER($C$6)),IF(C17&gt;=$C$6,H17,1000000000),1000000000)</f>
        <v>1000000000</v>
      </c>
      <c r="L17" s="115" t="n">
        <f aca="false">IF(AND(ISNUMBER(C17),ISNUMBER($C$7)),IF(C17&gt;=$C$7,I17,1000000000),1000000000)</f>
        <v>1000000000</v>
      </c>
      <c r="M17" s="115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89" t="str">
        <f aca="false">IF(ISNUMBER(Cap_In!I58),Cap_In!I58,"—")</f>
        <v>—</v>
      </c>
      <c r="D18" s="117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5" t="n">
        <f aca="false">(INDEX(B4_ISL,1,1)*((1-B4_CacheHit)*E18+B4_CacheHit*F18)+INDEX(B4_OSL,1,1)*G18)/(INDEX(B4_ISL,1,1)+INDEX(B4_OSL,1,1))</f>
        <v>0.4</v>
      </c>
      <c r="I18" s="115" t="n">
        <f aca="false">(INDEX(B4_ISL,1,2)*((1-B4_CacheHit)*E18+B4_CacheHit*F18)+INDEX(B4_OSL,1,2)*G18)/(INDEX(B4_ISL,1,2)+INDEX(B4_OSL,1,2))</f>
        <v>0.4</v>
      </c>
      <c r="J18" s="115" t="n">
        <f aca="false">(INDEX(B4_ISL,1,3)*((1-B4_CacheHit)*E18+B4_CacheHit*F18)+INDEX(B4_OSL,1,3)*G18)/(INDEX(B4_ISL,1,3)+INDEX(B4_OSL,1,3))</f>
        <v>0.4</v>
      </c>
      <c r="K18" s="115" t="n">
        <f aca="false">IF(AND(ISNUMBER(C18),ISNUMBER($C$6)),IF(C18&gt;=$C$6,H18,1000000000),1000000000)</f>
        <v>1000000000</v>
      </c>
      <c r="L18" s="115" t="n">
        <f aca="false">IF(AND(ISNUMBER(C18),ISNUMBER($C$7)),IF(C18&gt;=$C$7,I18,1000000000),1000000000)</f>
        <v>1000000000</v>
      </c>
      <c r="M18" s="115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</row>
    <row r="19" customFormat="false" ht="15" hidden="false" customHeight="false" outlineLevel="0" collapsed="false">
      <c r="A19" s="73" t="s">
        <v>1700</v>
      </c>
    </row>
    <row r="21" customFormat="false" ht="15" hidden="false" customHeight="false" outlineLevel="0" collapsed="false">
      <c r="A21" s="75" t="s">
        <v>1701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</row>
    <row r="22" customFormat="false" ht="15" hidden="false" customHeight="false" outlineLevel="0" collapsed="false">
      <c r="A22" s="59" t="s">
        <v>370</v>
      </c>
      <c r="B22" s="59" t="s">
        <v>83</v>
      </c>
      <c r="C22" s="10" t="s">
        <v>262</v>
      </c>
      <c r="D22" s="10" t="s">
        <v>263</v>
      </c>
      <c r="E22" s="10" t="s">
        <v>264</v>
      </c>
    </row>
    <row r="23" customFormat="false" ht="29.85" hidden="false" customHeight="false" outlineLevel="0" collapsed="false">
      <c r="A23" s="5" t="s">
        <v>1702</v>
      </c>
      <c r="B23" s="60" t="s">
        <v>1667</v>
      </c>
      <c r="C23" s="111" t="n">
        <f aca="false">$C$6</f>
        <v>37</v>
      </c>
      <c r="D23" s="111" t="n">
        <f aca="false">$C$7</f>
        <v>48</v>
      </c>
      <c r="E23" s="111" t="n">
        <f aca="false">$C$8</f>
        <v>53</v>
      </c>
    </row>
    <row r="24" customFormat="false" ht="29.85" hidden="false" customHeight="false" outlineLevel="0" collapsed="false">
      <c r="A24" s="6" t="s">
        <v>1703</v>
      </c>
      <c r="B24" s="61" t="s">
        <v>807</v>
      </c>
      <c r="C24" s="115" t="n">
        <f aca="false">INDEX($H$6:$H$18,1)</f>
        <v>0.100444444444444</v>
      </c>
      <c r="D24" s="115" t="n">
        <f aca="false">INDEX($I$6:$I$18,2)</f>
        <v>2.00888888888889</v>
      </c>
      <c r="E24" s="115" t="n">
        <f aca="false">INDEX($J$6:$J$18,3)</f>
        <v>10.0444444444444</v>
      </c>
    </row>
    <row r="25" customFormat="false" ht="15" hidden="false" customHeight="false" outlineLevel="0" collapsed="false">
      <c r="A25" s="5" t="s">
        <v>1704</v>
      </c>
      <c r="B25" s="61" t="s">
        <v>807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1705</v>
      </c>
      <c r="B26" s="60"/>
      <c r="C26" s="115" t="str">
        <f aca="false">INDEX($A$6:$A$18,MATCH(C25,$K$6:$K$18,0))</f>
        <v>GPT-6 Luna</v>
      </c>
      <c r="D26" s="115" t="str">
        <f aca="false">INDEX($A$6:$A$18,MATCH(D25,$L$6:$L$18,0))</f>
        <v>GPT-6 Sol</v>
      </c>
      <c r="E26" s="115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1706</v>
      </c>
      <c r="B27" s="61" t="s">
        <v>807</v>
      </c>
      <c r="C27" s="115" t="n">
        <f aca="false">INDEX($E$6:$E$18,MATCH(C25,$K$6:$K$18,0))</f>
        <v>0.1</v>
      </c>
      <c r="D27" s="115" t="n">
        <f aca="false">INDEX($E$6:$E$18,MATCH(D25,$L$6:$L$18,0))</f>
        <v>2</v>
      </c>
      <c r="E27" s="115" t="n">
        <f aca="false">INDEX($E$6:$E$18,MATCH(E25,$M$6:$M$18,0))</f>
        <v>10</v>
      </c>
    </row>
    <row r="28" customFormat="false" ht="15" hidden="false" customHeight="false" outlineLevel="0" collapsed="false">
      <c r="A28" s="5" t="s">
        <v>1707</v>
      </c>
      <c r="B28" s="61" t="s">
        <v>807</v>
      </c>
      <c r="C28" s="115" t="n">
        <f aca="false">INDEX($F$6:$F$18,MATCH(C25,$K$6:$K$18,0))</f>
        <v>0.01</v>
      </c>
      <c r="D28" s="115" t="n">
        <f aca="false">INDEX($F$6:$F$18,MATCH(D25,$L$6:$L$18,0))</f>
        <v>0.2</v>
      </c>
      <c r="E28" s="115" t="n">
        <f aca="false">INDEX($F$6:$F$18,MATCH(E25,$M$6:$M$18,0))</f>
        <v>0.25</v>
      </c>
    </row>
    <row r="29" customFormat="false" ht="15" hidden="false" customHeight="false" outlineLevel="0" collapsed="false">
      <c r="A29" s="5" t="s">
        <v>1708</v>
      </c>
      <c r="B29" s="61" t="s">
        <v>807</v>
      </c>
      <c r="C29" s="115" t="n">
        <f aca="false">INDEX($G$6:$G$18,MATCH(C25,$K$6:$K$18,0))</f>
        <v>0.5</v>
      </c>
      <c r="D29" s="115" t="n">
        <f aca="false">INDEX($G$6:$G$18,MATCH(D25,$L$6:$L$18,0))</f>
        <v>10</v>
      </c>
      <c r="E29" s="115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1709</v>
      </c>
      <c r="B30" s="61" t="s">
        <v>103</v>
      </c>
      <c r="C30" s="104" t="n">
        <f aca="false">C24/C25</f>
        <v>1</v>
      </c>
      <c r="D30" s="104" t="n">
        <f aca="false">D24/D25</f>
        <v>1</v>
      </c>
      <c r="E30" s="104" t="n">
        <f aca="false">E24/E25</f>
        <v>1.03788748564868</v>
      </c>
    </row>
    <row r="31" customFormat="false" ht="29.85" hidden="false" customHeight="false" outlineLevel="0" collapsed="false">
      <c r="A31" s="5" t="s">
        <v>1710</v>
      </c>
      <c r="B31" s="61" t="s">
        <v>807</v>
      </c>
      <c r="C31" s="115" t="n">
        <f aca="false">IF(MIN($N$6:$N$18)&gt;=1000000000,"無合格",MIN($N$6:$N$18))</f>
        <v>0.130222222222222</v>
      </c>
      <c r="D31" s="115" t="str">
        <f aca="false">IF(MIN($O$6:$O$18)&gt;=1000000000,"無合格",MIN($O$6:$O$18))</f>
        <v>無合格</v>
      </c>
      <c r="E31" s="115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1711</v>
      </c>
      <c r="B32" s="60"/>
      <c r="C32" s="115" t="str">
        <f aca="false">IF(ISNUMBER(C31),INDEX($A$6:$A$18,MATCH(C31,$N$6:$N$18,0)),"—")</f>
        <v>GLM-5.3-Flash</v>
      </c>
      <c r="D32" s="115" t="str">
        <f aca="false">IF(ISNUMBER(D31),INDEX($A$6:$A$18,MATCH(D31,$O$6:$O$18,0)),"—")</f>
        <v>—</v>
      </c>
      <c r="E32" s="115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1712</v>
      </c>
      <c r="B33" s="61" t="s">
        <v>103</v>
      </c>
      <c r="C33" s="76" t="n">
        <f aca="false">IF(ISNUMBER(C31),C31/C24,"—")</f>
        <v>1.29646017699115</v>
      </c>
      <c r="D33" s="76" t="str">
        <f aca="false">IF(ISNUMBER(D31),D31/D24,"—")</f>
        <v>—</v>
      </c>
      <c r="E33" s="76" t="str">
        <f aca="false">IF(ISNUMBER(E31),E31/E24,"—")</f>
        <v>—</v>
      </c>
    </row>
    <row r="34" customFormat="false" ht="29.85" hidden="false" customHeight="false" outlineLevel="0" collapsed="false">
      <c r="A34" s="5" t="s">
        <v>1713</v>
      </c>
      <c r="B34" s="60" t="s">
        <v>329</v>
      </c>
      <c r="C34" s="111" t="n">
        <f aca="false">COUNTIF($N$6:$N$18,"&lt;1E9")</f>
        <v>4</v>
      </c>
      <c r="D34" s="111" t="n">
        <f aca="false">COUNTIF($O$6:$O$18,"&lt;1E9")</f>
        <v>0</v>
      </c>
      <c r="E34" s="111" t="n">
        <f aca="false">COUNTIF($P$6:$P$18,"&lt;1E9")</f>
        <v>0</v>
      </c>
    </row>
    <row r="36" customFormat="false" ht="15" hidden="false" customHeight="false" outlineLevel="0" collapsed="false">
      <c r="A36" s="75" t="s">
        <v>1714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</row>
    <row r="37" customFormat="false" ht="44" hidden="false" customHeight="false" outlineLevel="0" collapsed="false">
      <c r="A37" s="6" t="s">
        <v>1715</v>
      </c>
      <c r="B37" s="61" t="s">
        <v>103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1716</v>
      </c>
      <c r="B38" s="61" t="s">
        <v>103</v>
      </c>
      <c r="C38" s="106" t="n">
        <f aca="false">EXP(B4_Eps*LN(C37*B4_CompMult))</f>
        <v>1</v>
      </c>
      <c r="D38" s="106" t="n">
        <f aca="false">EXP(B4_Eps*LN(D37*B4_CompMult))</f>
        <v>1</v>
      </c>
      <c r="E38" s="106" t="n">
        <f aca="false">EXP(B4_Eps*LN(E37*B4_CompMult))</f>
        <v>1</v>
      </c>
    </row>
    <row r="40" customFormat="false" ht="15" hidden="false" customHeight="false" outlineLevel="0" collapsed="false">
      <c r="A40" s="75" t="s">
        <v>1717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</row>
    <row r="41" customFormat="false" ht="15" hidden="false" customHeight="false" outlineLevel="0" collapsed="false">
      <c r="A41" s="5" t="s">
        <v>1718</v>
      </c>
      <c r="B41" s="61" t="s">
        <v>807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1719</v>
      </c>
      <c r="B42" s="61" t="s">
        <v>807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1720</v>
      </c>
      <c r="B43" s="61" t="s">
        <v>807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1721</v>
      </c>
      <c r="B44" s="61" t="s">
        <v>807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1722</v>
      </c>
      <c r="B45" s="61" t="s">
        <v>807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1723</v>
      </c>
      <c r="B46" s="61" t="s">
        <v>807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1724</v>
      </c>
    </row>
    <row r="2" customFormat="false" ht="15" hidden="false" customHeight="false" outlineLevel="0" collapsed="false">
      <c r="A2" s="73" t="s">
        <v>1725</v>
      </c>
    </row>
    <row r="4" customFormat="false" ht="15" hidden="false" customHeight="false" outlineLevel="0" collapsed="false">
      <c r="A4" s="59" t="s">
        <v>171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452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1726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68" t="s">
        <v>1727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" t="s">
        <v>1728</v>
      </c>
      <c r="B10" s="61" t="s">
        <v>1729</v>
      </c>
      <c r="C10" s="155" t="n">
        <f aca="false">B4_SSDcost/(B4_SSDlife*8760)</f>
        <v>2.28310502283105E-006</v>
      </c>
      <c r="D10" s="155" t="n">
        <f aca="false">B4_SSDcost/(B4_SSDlife*8760)</f>
        <v>2.28310502283105E-006</v>
      </c>
      <c r="E10" s="155" t="n">
        <f aca="false">B4_SSDcost/(B4_SSDlife*8760)</f>
        <v>2.28310502283105E-006</v>
      </c>
      <c r="F10" s="155" t="n">
        <f aca="false">B4_SSDcost/(B4_SSDlife*8760)</f>
        <v>2.28310502283105E-006</v>
      </c>
      <c r="G10" s="155" t="n">
        <f aca="false">B4_SSDcost/(B4_SSDlife*8760)</f>
        <v>2.28310502283105E-006</v>
      </c>
      <c r="H10" s="155" t="n">
        <f aca="false">B4_SSDcost/(B4_SSDlife*8760)</f>
        <v>2.28310502283105E-006</v>
      </c>
      <c r="I10" s="155" t="n">
        <f aca="false">B4_SSDcost/(B4_SSDlife*8760)</f>
        <v>2.28310502283105E-006</v>
      </c>
      <c r="J10" s="155" t="n">
        <f aca="false">B4_SSDcost/(B4_SSDlife*8760)</f>
        <v>2.28310502283105E-006</v>
      </c>
      <c r="K10" s="155" t="n">
        <f aca="false">B4_SSDcost/(B4_SSDlife*8760)</f>
        <v>2.28310502283105E-006</v>
      </c>
      <c r="L10" s="155" t="n">
        <f aca="false">B4_SSDcost/(B4_SSDlife*8760)</f>
        <v>2.28310502283105E-006</v>
      </c>
      <c r="M10" s="155" t="n">
        <f aca="false">B4_SSDcost/(B4_SSDlife*8760)</f>
        <v>2.28310502283105E-006</v>
      </c>
      <c r="N10" s="155" t="n">
        <f aca="false">B4_SSDcost/(B4_SSDlife*8760)</f>
        <v>2.28310502283105E-006</v>
      </c>
      <c r="O10" s="155" t="n">
        <f aca="false">B4_SSDcost/(B4_SSDlife*8760)</f>
        <v>2.28310502283105E-006</v>
      </c>
      <c r="P10" s="155" t="n">
        <f aca="false">B4_SSDcost/(B4_SSDlife*8760)</f>
        <v>2.28310502283105E-006</v>
      </c>
      <c r="Q10" s="15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1730</v>
      </c>
      <c r="B11" s="61" t="s">
        <v>1729</v>
      </c>
      <c r="C11" s="155" t="n">
        <f aca="false">B4_DRAMcost/(B4_DRAMlife*8760)</f>
        <v>0.000285388127853881</v>
      </c>
      <c r="D11" s="155" t="n">
        <f aca="false">B4_DRAMcost/(B4_DRAMlife*8760)</f>
        <v>0.000285388127853881</v>
      </c>
      <c r="E11" s="155" t="n">
        <f aca="false">B4_DRAMcost/(B4_DRAMlife*8760)</f>
        <v>0.000285388127853881</v>
      </c>
      <c r="F11" s="155" t="n">
        <f aca="false">B4_DRAMcost/(B4_DRAMlife*8760)</f>
        <v>0.000285388127853881</v>
      </c>
      <c r="G11" s="155" t="n">
        <f aca="false">B4_DRAMcost/(B4_DRAMlife*8760)</f>
        <v>0.000285388127853881</v>
      </c>
      <c r="H11" s="155" t="n">
        <f aca="false">B4_DRAMcost/(B4_DRAMlife*8760)</f>
        <v>0.000285388127853881</v>
      </c>
      <c r="I11" s="155" t="n">
        <f aca="false">B4_DRAMcost/(B4_DRAMlife*8760)</f>
        <v>0.000285388127853881</v>
      </c>
      <c r="J11" s="155" t="n">
        <f aca="false">B4_DRAMcost/(B4_DRAMlife*8760)</f>
        <v>0.000285388127853881</v>
      </c>
      <c r="K11" s="155" t="n">
        <f aca="false">B4_DRAMcost/(B4_DRAMlife*8760)</f>
        <v>0.000285388127853881</v>
      </c>
      <c r="L11" s="155" t="n">
        <f aca="false">B4_DRAMcost/(B4_DRAMlife*8760)</f>
        <v>0.000285388127853881</v>
      </c>
      <c r="M11" s="155" t="n">
        <f aca="false">B4_DRAMcost/(B4_DRAMlife*8760)</f>
        <v>0.000285388127853881</v>
      </c>
      <c r="N11" s="155" t="n">
        <f aca="false">B4_DRAMcost/(B4_DRAMlife*8760)</f>
        <v>0.000285388127853881</v>
      </c>
      <c r="O11" s="155" t="n">
        <f aca="false">B4_DRAMcost/(B4_DRAMlife*8760)</f>
        <v>0.000285388127853881</v>
      </c>
      <c r="P11" s="155" t="n">
        <f aca="false">B4_DRAMcost/(B4_DRAMlife*8760)</f>
        <v>0.000285388127853881</v>
      </c>
      <c r="Q11" s="15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1731</v>
      </c>
      <c r="B12" s="61" t="s">
        <v>1729</v>
      </c>
      <c r="C12" s="156" t="n">
        <f aca="false">Unit_Cost!C$8/INDEX(Spec_Rack!$C$25:$G$25,1,C$6)</f>
        <v>0.0134955607522832</v>
      </c>
      <c r="D12" s="156" t="n">
        <f aca="false">Unit_Cost!D$8/INDEX(Spec_Rack!$C$25:$G$25,1,D$6)</f>
        <v>0.0192824568481987</v>
      </c>
      <c r="E12" s="156" t="n">
        <f aca="false">Unit_Cost!E$8/INDEX(Spec_Rack!$C$25:$G$25,1,E$6)</f>
        <v>0.0331150706309994</v>
      </c>
      <c r="F12" s="156" t="n">
        <f aca="false">Unit_Cost!F$8/INDEX(Spec_Rack!$C$25:$G$25,1,F$6)</f>
        <v>0.0080872480876766</v>
      </c>
      <c r="G12" s="156" t="n">
        <f aca="false">Unit_Cost!G$8/INDEX(Spec_Rack!$C$25:$G$25,1,G$6)</f>
        <v>0.0107981774006494</v>
      </c>
      <c r="H12" s="156" t="n">
        <f aca="false">Unit_Cost!H$8/INDEX(Spec_Rack!$C$25:$G$25,1,H$6)</f>
        <v>0.0175137756908532</v>
      </c>
      <c r="I12" s="156" t="n">
        <f aca="false">Unit_Cost!I$8/INDEX(Spec_Rack!$C$25:$G$25,1,I$6)</f>
        <v>0.00686022195155025</v>
      </c>
      <c r="J12" s="156" t="n">
        <f aca="false">Unit_Cost!J$8/INDEX(Spec_Rack!$C$25:$G$25,1,J$6)</f>
        <v>0.0088603736572776</v>
      </c>
      <c r="K12" s="156" t="n">
        <f aca="false">Unit_Cost!K$8/INDEX(Spec_Rack!$C$25:$G$25,1,K$6)</f>
        <v>0.0150852181439048</v>
      </c>
      <c r="L12" s="156" t="n">
        <f aca="false">Unit_Cost!L$8/INDEX(Spec_Rack!$C$25:$G$25,1,L$6)</f>
        <v>0.0129234011848593</v>
      </c>
      <c r="M12" s="156" t="n">
        <f aca="false">Unit_Cost!M$8/INDEX(Spec_Rack!$C$25:$G$25,1,M$6)</f>
        <v>0.0166099021084798</v>
      </c>
      <c r="N12" s="156" t="n">
        <f aca="false">Unit_Cost!N$8/INDEX(Spec_Rack!$C$25:$G$25,1,N$6)</f>
        <v>0.0268338112088143</v>
      </c>
      <c r="O12" s="156" t="n">
        <f aca="false">Unit_Cost!O$8/INDEX(Spec_Rack!$C$25:$G$25,1,O$6)</f>
        <v>0.00578265059127264</v>
      </c>
      <c r="P12" s="156" t="n">
        <f aca="false">Unit_Cost!P$8/INDEX(Spec_Rack!$C$25:$G$25,1,P$6)</f>
        <v>0.00878883600486841</v>
      </c>
      <c r="Q12" s="156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1732</v>
      </c>
      <c r="B13" s="61" t="s">
        <v>1729</v>
      </c>
      <c r="C13" s="155" t="n">
        <f aca="false">CHOOSE(B4_StoreTier,C10,C11,C12)</f>
        <v>0.000285388127853881</v>
      </c>
      <c r="D13" s="155" t="n">
        <f aca="false">CHOOSE(B4_StoreTier,D10,D11,D12)</f>
        <v>0.000285388127853881</v>
      </c>
      <c r="E13" s="155" t="n">
        <f aca="false">CHOOSE(B4_StoreTier,E10,E11,E12)</f>
        <v>0.000285388127853881</v>
      </c>
      <c r="F13" s="155" t="n">
        <f aca="false">CHOOSE(B4_StoreTier,F10,F11,F12)</f>
        <v>0.000285388127853881</v>
      </c>
      <c r="G13" s="155" t="n">
        <f aca="false">CHOOSE(B4_StoreTier,G10,G11,G12)</f>
        <v>0.000285388127853881</v>
      </c>
      <c r="H13" s="155" t="n">
        <f aca="false">CHOOSE(B4_StoreTier,H10,H11,H12)</f>
        <v>0.000285388127853881</v>
      </c>
      <c r="I13" s="155" t="n">
        <f aca="false">CHOOSE(B4_StoreTier,I10,I11,I12)</f>
        <v>0.000285388127853881</v>
      </c>
      <c r="J13" s="155" t="n">
        <f aca="false">CHOOSE(B4_StoreTier,J10,J11,J12)</f>
        <v>0.000285388127853881</v>
      </c>
      <c r="K13" s="155" t="n">
        <f aca="false">CHOOSE(B4_StoreTier,K10,K11,K12)</f>
        <v>0.000285388127853881</v>
      </c>
      <c r="L13" s="155" t="n">
        <f aca="false">CHOOSE(B4_StoreTier,L10,L11,L12)</f>
        <v>0.000285388127853881</v>
      </c>
      <c r="M13" s="155" t="n">
        <f aca="false">CHOOSE(B4_StoreTier,M10,M11,M12)</f>
        <v>0.000285388127853881</v>
      </c>
      <c r="N13" s="155" t="n">
        <f aca="false">CHOOSE(B4_StoreTier,N10,N11,N12)</f>
        <v>0.000285388127853881</v>
      </c>
      <c r="O13" s="155" t="n">
        <f aca="false">CHOOSE(B4_StoreTier,O10,O11,O12)</f>
        <v>0.000285388127853881</v>
      </c>
      <c r="P13" s="155" t="n">
        <f aca="false">CHOOSE(B4_StoreTier,P10,P11,P12)</f>
        <v>0.000285388127853881</v>
      </c>
      <c r="Q13" s="155" t="n">
        <f aca="false">CHOOSE(B4_StoreTier,Q10,Q11,Q12)</f>
        <v>0.000285388127853881</v>
      </c>
    </row>
    <row r="15" customFormat="false" ht="15" hidden="false" customHeight="false" outlineLevel="0" collapsed="false">
      <c r="A15" s="75" t="s">
        <v>262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</row>
    <row r="16" customFormat="false" ht="15" hidden="false" customHeight="false" outlineLevel="0" collapsed="false">
      <c r="A16" s="6" t="s">
        <v>1733</v>
      </c>
      <c r="B16" s="61" t="s">
        <v>271</v>
      </c>
      <c r="C16" s="62" t="n">
        <f aca="false">Arch!$C$25</f>
        <v>2795</v>
      </c>
      <c r="D16" s="62" t="n">
        <f aca="false">Arch!$C$25</f>
        <v>2795</v>
      </c>
      <c r="E16" s="62" t="n">
        <f aca="false">Arch!$C$25</f>
        <v>2795</v>
      </c>
      <c r="F16" s="62" t="n">
        <f aca="false">Arch!$C$25</f>
        <v>2795</v>
      </c>
      <c r="G16" s="62" t="n">
        <f aca="false">Arch!$C$25</f>
        <v>2795</v>
      </c>
      <c r="H16" s="62" t="n">
        <f aca="false">Arch!$C$25</f>
        <v>2795</v>
      </c>
      <c r="I16" s="62" t="n">
        <f aca="false">Arch!$C$25</f>
        <v>2795</v>
      </c>
      <c r="J16" s="62" t="n">
        <f aca="false">Arch!$C$25</f>
        <v>2795</v>
      </c>
      <c r="K16" s="62" t="n">
        <f aca="false">Arch!$C$25</f>
        <v>2795</v>
      </c>
      <c r="L16" s="62" t="n">
        <f aca="false">Arch!$C$25</f>
        <v>2795</v>
      </c>
      <c r="M16" s="62" t="n">
        <f aca="false">Arch!$C$25</f>
        <v>2795</v>
      </c>
      <c r="N16" s="62" t="n">
        <f aca="false">Arch!$C$25</f>
        <v>2795</v>
      </c>
      <c r="O16" s="62" t="n">
        <f aca="false">Arch!$C$25</f>
        <v>2795</v>
      </c>
      <c r="P16" s="62" t="n">
        <f aca="false">Arch!$C$25</f>
        <v>2795</v>
      </c>
      <c r="Q16" s="62" t="n">
        <f aca="false">Arch!$C$25</f>
        <v>2795</v>
      </c>
    </row>
    <row r="17" customFormat="false" ht="15" hidden="false" customHeight="false" outlineLevel="0" collapsed="false">
      <c r="A17" s="5" t="s">
        <v>1734</v>
      </c>
      <c r="B17" s="61" t="s">
        <v>807</v>
      </c>
      <c r="C17" s="157" t="n">
        <f aca="false">C16*1000000/1000000000*C$13*B4_Retain/B4_Hits</f>
        <v>1.32943302891933E-005</v>
      </c>
      <c r="D17" s="157" t="n">
        <f aca="false">D16*1000000/1000000000*D$13*B4_Retain/B4_Hits</f>
        <v>1.32943302891933E-005</v>
      </c>
      <c r="E17" s="157" t="n">
        <f aca="false">E16*1000000/1000000000*E$13*B4_Retain/B4_Hits</f>
        <v>1.32943302891933E-005</v>
      </c>
      <c r="F17" s="157" t="n">
        <f aca="false">F16*1000000/1000000000*F$13*B4_Retain/B4_Hits</f>
        <v>1.32943302891933E-005</v>
      </c>
      <c r="G17" s="157" t="n">
        <f aca="false">G16*1000000/1000000000*G$13*B4_Retain/B4_Hits</f>
        <v>1.32943302891933E-005</v>
      </c>
      <c r="H17" s="157" t="n">
        <f aca="false">H16*1000000/1000000000*H$13*B4_Retain/B4_Hits</f>
        <v>1.32943302891933E-005</v>
      </c>
      <c r="I17" s="157" t="n">
        <f aca="false">I16*1000000/1000000000*I$13*B4_Retain/B4_Hits</f>
        <v>1.32943302891933E-005</v>
      </c>
      <c r="J17" s="157" t="n">
        <f aca="false">J16*1000000/1000000000*J$13*B4_Retain/B4_Hits</f>
        <v>1.32943302891933E-005</v>
      </c>
      <c r="K17" s="157" t="n">
        <f aca="false">K16*1000000/1000000000*K$13*B4_Retain/B4_Hits</f>
        <v>1.32943302891933E-005</v>
      </c>
      <c r="L17" s="157" t="n">
        <f aca="false">L16*1000000/1000000000*L$13*B4_Retain/B4_Hits</f>
        <v>1.32943302891933E-005</v>
      </c>
      <c r="M17" s="157" t="n">
        <f aca="false">M16*1000000/1000000000*M$13*B4_Retain/B4_Hits</f>
        <v>1.32943302891933E-005</v>
      </c>
      <c r="N17" s="157" t="n">
        <f aca="false">N16*1000000/1000000000*N$13*B4_Retain/B4_Hits</f>
        <v>1.32943302891933E-005</v>
      </c>
      <c r="O17" s="157" t="n">
        <f aca="false">O16*1000000/1000000000*O$13*B4_Retain/B4_Hits</f>
        <v>1.32943302891933E-005</v>
      </c>
      <c r="P17" s="157" t="n">
        <f aca="false">P16*1000000/1000000000*P$13*B4_Retain/B4_Hits</f>
        <v>1.32943302891933E-005</v>
      </c>
      <c r="Q17" s="15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1735</v>
      </c>
      <c r="B18" s="61" t="s">
        <v>103</v>
      </c>
      <c r="C18" s="76" t="n">
        <f aca="false">IF(INDEX(IF_CostCache_Luna,1,C$7)&gt;0,C17/INDEX(IF_CostCache_Luna,1,C$7),0)</f>
        <v>1.58601113224732</v>
      </c>
      <c r="D18" s="76" t="n">
        <f aca="false">IF(INDEX(IF_CostCache_Luna,1,D$7)&gt;0,D17/INDEX(IF_CostCache_Luna,1,D$7),0)</f>
        <v>1.11003020815994</v>
      </c>
      <c r="E18" s="76" t="n">
        <f aca="false">IF(INDEX(IF_CostCache_Luna,1,E$7)&gt;0,E17/INDEX(IF_CostCache_Luna,1,E$7),0)</f>
        <v>0.646355546921421</v>
      </c>
      <c r="F18" s="76" t="n">
        <f aca="false">IF(INDEX(IF_CostCache_Luna,1,F$7)&gt;0,F17/INDEX(IF_CostCache_Luna,1,F$7),0)</f>
        <v>1.13834379020424</v>
      </c>
      <c r="G18" s="76" t="n">
        <f aca="false">IF(INDEX(IF_CostCache_Luna,1,G$7)&gt;0,G17/INDEX(IF_CostCache_Luna,1,G$7),0)</f>
        <v>0.852557639948957</v>
      </c>
      <c r="H18" s="76" t="n">
        <f aca="false">IF(INDEX(IF_CostCache_Luna,1,H$7)&gt;0,H17/INDEX(IF_CostCache_Luna,1,H$7),0)</f>
        <v>0.525647284911602</v>
      </c>
      <c r="I18" s="76" t="n">
        <f aca="false">IF(INDEX(IF_CostCache_Luna,1,I$7)&gt;0,I17/INDEX(IF_CostCache_Luna,1,I$7),0)</f>
        <v>0.866675457287835</v>
      </c>
      <c r="J18" s="76" t="n">
        <f aca="false">IF(INDEX(IF_CostCache_Luna,1,J$7)&gt;0,J17/INDEX(IF_CostCache_Luna,1,J$7),0)</f>
        <v>0.671031067868381</v>
      </c>
      <c r="K18" s="76" t="n">
        <f aca="false">IF(INDEX(IF_CostCache_Luna,1,K$7)&gt;0,K17/INDEX(IF_CostCache_Luna,1,K$7),0)</f>
        <v>0.394133246217469</v>
      </c>
      <c r="L18" s="76" t="n">
        <f aca="false">IF(INDEX(IF_CostCache_Luna,1,L$7)&gt;0,L17/INDEX(IF_CostCache_Luna,1,L$7),0)</f>
        <v>0.460063563137044</v>
      </c>
      <c r="M18" s="76" t="n">
        <f aca="false">IF(INDEX(IF_CostCache_Luna,1,M$7)&gt;0,M17/INDEX(IF_CostCache_Luna,1,M$7),0)</f>
        <v>0.357954306902294</v>
      </c>
      <c r="N18" s="76" t="n">
        <f aca="false">IF(INDEX(IF_CostCache_Luna,1,N$7)&gt;0,N17/INDEX(IF_CostCache_Luna,1,N$7),0)</f>
        <v>0.221570687469206</v>
      </c>
      <c r="O18" s="76" t="n">
        <f aca="false">IF(INDEX(IF_CostCache_Luna,1,O$7)&gt;0,O17/INDEX(IF_CostCache_Luna,1,O$7),0)</f>
        <v>0.289174667438418</v>
      </c>
      <c r="P18" s="76" t="n">
        <f aca="false">IF(INDEX(IF_CostCache_Luna,1,P$7)&gt;0,P17/INDEX(IF_CostCache_Luna,1,P$7),0)</f>
        <v>0.190263655018429</v>
      </c>
      <c r="Q18" s="76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1736</v>
      </c>
      <c r="B19" s="61" t="s">
        <v>99</v>
      </c>
      <c r="C19" s="102" t="n">
        <f aca="false">C17/INDEX(B4_EffCache,1,1)</f>
        <v>0.00166179128614916</v>
      </c>
      <c r="D19" s="102" t="n">
        <f aca="false">D17/INDEX(B4_EffCache,1,1)</f>
        <v>0.00166179128614916</v>
      </c>
      <c r="E19" s="102" t="n">
        <f aca="false">E17/INDEX(B4_EffCache,1,1)</f>
        <v>0.00166179128614916</v>
      </c>
      <c r="F19" s="102" t="n">
        <f aca="false">F17/INDEX(B4_EffCache,1,1)</f>
        <v>0.00166179128614916</v>
      </c>
      <c r="G19" s="102" t="n">
        <f aca="false">G17/INDEX(B4_EffCache,1,1)</f>
        <v>0.00166179128614916</v>
      </c>
      <c r="H19" s="102" t="n">
        <f aca="false">H17/INDEX(B4_EffCache,1,1)</f>
        <v>0.00166179128614916</v>
      </c>
      <c r="I19" s="102" t="n">
        <f aca="false">I17/INDEX(B4_EffCache,1,1)</f>
        <v>0.00166179128614916</v>
      </c>
      <c r="J19" s="102" t="n">
        <f aca="false">J17/INDEX(B4_EffCache,1,1)</f>
        <v>0.00166179128614916</v>
      </c>
      <c r="K19" s="102" t="n">
        <f aca="false">K17/INDEX(B4_EffCache,1,1)</f>
        <v>0.00166179128614916</v>
      </c>
      <c r="L19" s="102" t="n">
        <f aca="false">L17/INDEX(B4_EffCache,1,1)</f>
        <v>0.00166179128614916</v>
      </c>
      <c r="M19" s="102" t="n">
        <f aca="false">M17/INDEX(B4_EffCache,1,1)</f>
        <v>0.00166179128614916</v>
      </c>
      <c r="N19" s="102" t="n">
        <f aca="false">N17/INDEX(B4_EffCache,1,1)</f>
        <v>0.00166179128614916</v>
      </c>
      <c r="O19" s="102" t="n">
        <f aca="false">O17/INDEX(B4_EffCache,1,1)</f>
        <v>0.00166179128614916</v>
      </c>
      <c r="P19" s="102" t="n">
        <f aca="false">P17/INDEX(B4_EffCache,1,1)</f>
        <v>0.00166179128614916</v>
      </c>
      <c r="Q19" s="102" t="n">
        <f aca="false">Q17/INDEX(B4_EffCache,1,1)</f>
        <v>0.00166179128614916</v>
      </c>
    </row>
    <row r="21" customFormat="false" ht="15" hidden="false" customHeight="false" outlineLevel="0" collapsed="false">
      <c r="A21" s="75" t="s">
        <v>263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customFormat="false" ht="15" hidden="false" customHeight="false" outlineLevel="0" collapsed="false">
      <c r="A22" s="6" t="s">
        <v>1733</v>
      </c>
      <c r="B22" s="61" t="s">
        <v>271</v>
      </c>
      <c r="C22" s="62" t="n">
        <f aca="false">Arch!$D$25</f>
        <v>3965</v>
      </c>
      <c r="D22" s="62" t="n">
        <f aca="false">Arch!$D$25</f>
        <v>3965</v>
      </c>
      <c r="E22" s="62" t="n">
        <f aca="false">Arch!$D$25</f>
        <v>3965</v>
      </c>
      <c r="F22" s="62" t="n">
        <f aca="false">Arch!$D$25</f>
        <v>3965</v>
      </c>
      <c r="G22" s="62" t="n">
        <f aca="false">Arch!$D$25</f>
        <v>3965</v>
      </c>
      <c r="H22" s="62" t="n">
        <f aca="false">Arch!$D$25</f>
        <v>3965</v>
      </c>
      <c r="I22" s="62" t="n">
        <f aca="false">Arch!$D$25</f>
        <v>3965</v>
      </c>
      <c r="J22" s="62" t="n">
        <f aca="false">Arch!$D$25</f>
        <v>3965</v>
      </c>
      <c r="K22" s="62" t="n">
        <f aca="false">Arch!$D$25</f>
        <v>3965</v>
      </c>
      <c r="L22" s="62" t="n">
        <f aca="false">Arch!$D$25</f>
        <v>3965</v>
      </c>
      <c r="M22" s="62" t="n">
        <f aca="false">Arch!$D$25</f>
        <v>3965</v>
      </c>
      <c r="N22" s="62" t="n">
        <f aca="false">Arch!$D$25</f>
        <v>3965</v>
      </c>
      <c r="O22" s="62" t="n">
        <f aca="false">Arch!$D$25</f>
        <v>3965</v>
      </c>
      <c r="P22" s="62" t="n">
        <f aca="false">Arch!$D$25</f>
        <v>3965</v>
      </c>
      <c r="Q22" s="62" t="n">
        <f aca="false">Arch!$D$25</f>
        <v>3965</v>
      </c>
    </row>
    <row r="23" customFormat="false" ht="15" hidden="false" customHeight="false" outlineLevel="0" collapsed="false">
      <c r="A23" s="5" t="s">
        <v>1737</v>
      </c>
      <c r="B23" s="61" t="s">
        <v>807</v>
      </c>
      <c r="C23" s="157" t="n">
        <f aca="false">C22*1000000/1000000000*C$13*B4_Retain/B4_Hits</f>
        <v>1.8859398782344E-005</v>
      </c>
      <c r="D23" s="157" t="n">
        <f aca="false">D22*1000000/1000000000*D$13*B4_Retain/B4_Hits</f>
        <v>1.8859398782344E-005</v>
      </c>
      <c r="E23" s="157" t="n">
        <f aca="false">E22*1000000/1000000000*E$13*B4_Retain/B4_Hits</f>
        <v>1.8859398782344E-005</v>
      </c>
      <c r="F23" s="157" t="n">
        <f aca="false">F22*1000000/1000000000*F$13*B4_Retain/B4_Hits</f>
        <v>1.8859398782344E-005</v>
      </c>
      <c r="G23" s="157" t="n">
        <f aca="false">G22*1000000/1000000000*G$13*B4_Retain/B4_Hits</f>
        <v>1.8859398782344E-005</v>
      </c>
      <c r="H23" s="157" t="n">
        <f aca="false">H22*1000000/1000000000*H$13*B4_Retain/B4_Hits</f>
        <v>1.8859398782344E-005</v>
      </c>
      <c r="I23" s="157" t="n">
        <f aca="false">I22*1000000/1000000000*I$13*B4_Retain/B4_Hits</f>
        <v>1.8859398782344E-005</v>
      </c>
      <c r="J23" s="157" t="n">
        <f aca="false">J22*1000000/1000000000*J$13*B4_Retain/B4_Hits</f>
        <v>1.8859398782344E-005</v>
      </c>
      <c r="K23" s="157" t="n">
        <f aca="false">K22*1000000/1000000000*K$13*B4_Retain/B4_Hits</f>
        <v>1.8859398782344E-005</v>
      </c>
      <c r="L23" s="157" t="n">
        <f aca="false">L22*1000000/1000000000*L$13*B4_Retain/B4_Hits</f>
        <v>1.8859398782344E-005</v>
      </c>
      <c r="M23" s="157" t="n">
        <f aca="false">M22*1000000/1000000000*M$13*B4_Retain/B4_Hits</f>
        <v>1.8859398782344E-005</v>
      </c>
      <c r="N23" s="157" t="n">
        <f aca="false">N22*1000000/1000000000*N$13*B4_Retain/B4_Hits</f>
        <v>1.8859398782344E-005</v>
      </c>
      <c r="O23" s="157" t="n">
        <f aca="false">O22*1000000/1000000000*O$13*B4_Retain/B4_Hits</f>
        <v>1.8859398782344E-005</v>
      </c>
      <c r="P23" s="157" t="n">
        <f aca="false">P22*1000000/1000000000*P$13*B4_Retain/B4_Hits</f>
        <v>1.8859398782344E-005</v>
      </c>
      <c r="Q23" s="15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1735</v>
      </c>
      <c r="B24" s="61" t="s">
        <v>103</v>
      </c>
      <c r="C24" s="76" t="n">
        <f aca="false">IF(INDEX(IF_CostCache_Sol,1,C$7)&gt;0,C23/INDEX(IF_CostCache_Sol,1,C$7),0)</f>
        <v>1.58601113224732</v>
      </c>
      <c r="D24" s="76" t="n">
        <f aca="false">IF(INDEX(IF_CostCache_Sol,1,D$7)&gt;0,D23/INDEX(IF_CostCache_Sol,1,D$7),0)</f>
        <v>1.11003020815994</v>
      </c>
      <c r="E24" s="76" t="n">
        <f aca="false">IF(INDEX(IF_CostCache_Sol,1,E$7)&gt;0,E23/INDEX(IF_CostCache_Sol,1,E$7),0)</f>
        <v>0.646355546921421</v>
      </c>
      <c r="F24" s="76" t="n">
        <f aca="false">IF(INDEX(IF_CostCache_Sol,1,F$7)&gt;0,F23/INDEX(IF_CostCache_Sol,1,F$7),0)</f>
        <v>1.13834379020424</v>
      </c>
      <c r="G24" s="76" t="n">
        <f aca="false">IF(INDEX(IF_CostCache_Sol,1,G$7)&gt;0,G23/INDEX(IF_CostCache_Sol,1,G$7),0)</f>
        <v>0.852557639948957</v>
      </c>
      <c r="H24" s="76" t="n">
        <f aca="false">IF(INDEX(IF_CostCache_Sol,1,H$7)&gt;0,H23/INDEX(IF_CostCache_Sol,1,H$7),0)</f>
        <v>0.525647284911602</v>
      </c>
      <c r="I24" s="76" t="n">
        <f aca="false">IF(INDEX(IF_CostCache_Sol,1,I$7)&gt;0,I23/INDEX(IF_CostCache_Sol,1,I$7),0)</f>
        <v>0.866675457287835</v>
      </c>
      <c r="J24" s="76" t="n">
        <f aca="false">IF(INDEX(IF_CostCache_Sol,1,J$7)&gt;0,J23/INDEX(IF_CostCache_Sol,1,J$7),0)</f>
        <v>0.67103106786838</v>
      </c>
      <c r="K24" s="76" t="n">
        <f aca="false">IF(INDEX(IF_CostCache_Sol,1,K$7)&gt;0,K23/INDEX(IF_CostCache_Sol,1,K$7),0)</f>
        <v>0.394133246217469</v>
      </c>
      <c r="L24" s="76" t="n">
        <f aca="false">IF(INDEX(IF_CostCache_Sol,1,L$7)&gt;0,L23/INDEX(IF_CostCache_Sol,1,L$7),0)</f>
        <v>0.460063563137044</v>
      </c>
      <c r="M24" s="76" t="n">
        <f aca="false">IF(INDEX(IF_CostCache_Sol,1,M$7)&gt;0,M23/INDEX(IF_CostCache_Sol,1,M$7),0)</f>
        <v>0.357954306902294</v>
      </c>
      <c r="N24" s="76" t="n">
        <f aca="false">IF(INDEX(IF_CostCache_Sol,1,N$7)&gt;0,N23/INDEX(IF_CostCache_Sol,1,N$7),0)</f>
        <v>0.221570687469206</v>
      </c>
      <c r="O24" s="76" t="n">
        <f aca="false">IF(INDEX(IF_CostCache_Sol,1,O$7)&gt;0,O23/INDEX(IF_CostCache_Sol,1,O$7),0)</f>
        <v>0.289174667438418</v>
      </c>
      <c r="P24" s="76" t="n">
        <f aca="false">IF(INDEX(IF_CostCache_Sol,1,P$7)&gt;0,P23/INDEX(IF_CostCache_Sol,1,P$7),0)</f>
        <v>0.190263655018429</v>
      </c>
      <c r="Q24" s="76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1736</v>
      </c>
      <c r="B25" s="61" t="s">
        <v>99</v>
      </c>
      <c r="C25" s="102" t="n">
        <f aca="false">C23/INDEX(B4_EffCache,1,2)</f>
        <v>0.00011787124238965</v>
      </c>
      <c r="D25" s="102" t="n">
        <f aca="false">D23/INDEX(B4_EffCache,1,2)</f>
        <v>0.00011787124238965</v>
      </c>
      <c r="E25" s="102" t="n">
        <f aca="false">E23/INDEX(B4_EffCache,1,2)</f>
        <v>0.00011787124238965</v>
      </c>
      <c r="F25" s="102" t="n">
        <f aca="false">F23/INDEX(B4_EffCache,1,2)</f>
        <v>0.00011787124238965</v>
      </c>
      <c r="G25" s="102" t="n">
        <f aca="false">G23/INDEX(B4_EffCache,1,2)</f>
        <v>0.00011787124238965</v>
      </c>
      <c r="H25" s="102" t="n">
        <f aca="false">H23/INDEX(B4_EffCache,1,2)</f>
        <v>0.00011787124238965</v>
      </c>
      <c r="I25" s="102" t="n">
        <f aca="false">I23/INDEX(B4_EffCache,1,2)</f>
        <v>0.00011787124238965</v>
      </c>
      <c r="J25" s="102" t="n">
        <f aca="false">J23/INDEX(B4_EffCache,1,2)</f>
        <v>0.00011787124238965</v>
      </c>
      <c r="K25" s="102" t="n">
        <f aca="false">K23/INDEX(B4_EffCache,1,2)</f>
        <v>0.00011787124238965</v>
      </c>
      <c r="L25" s="102" t="n">
        <f aca="false">L23/INDEX(B4_EffCache,1,2)</f>
        <v>0.00011787124238965</v>
      </c>
      <c r="M25" s="102" t="n">
        <f aca="false">M23/INDEX(B4_EffCache,1,2)</f>
        <v>0.00011787124238965</v>
      </c>
      <c r="N25" s="102" t="n">
        <f aca="false">N23/INDEX(B4_EffCache,1,2)</f>
        <v>0.00011787124238965</v>
      </c>
      <c r="O25" s="102" t="n">
        <f aca="false">O23/INDEX(B4_EffCache,1,2)</f>
        <v>0.00011787124238965</v>
      </c>
      <c r="P25" s="102" t="n">
        <f aca="false">P23/INDEX(B4_EffCache,1,2)</f>
        <v>0.00011787124238965</v>
      </c>
      <c r="Q25" s="102" t="n">
        <f aca="false">Q23/INDEX(B4_EffCache,1,2)</f>
        <v>0.00011787124238965</v>
      </c>
    </row>
    <row r="27" customFormat="false" ht="15" hidden="false" customHeight="false" outlineLevel="0" collapsed="false">
      <c r="A27" s="75" t="s">
        <v>264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" t="s">
        <v>1733</v>
      </c>
      <c r="B28" s="61" t="s">
        <v>271</v>
      </c>
      <c r="C28" s="62" t="n">
        <f aca="false">Arch!$E$25</f>
        <v>57600</v>
      </c>
      <c r="D28" s="62" t="n">
        <f aca="false">Arch!$E$25</f>
        <v>57600</v>
      </c>
      <c r="E28" s="62" t="n">
        <f aca="false">Arch!$E$25</f>
        <v>57600</v>
      </c>
      <c r="F28" s="62" t="n">
        <f aca="false">Arch!$E$25</f>
        <v>57600</v>
      </c>
      <c r="G28" s="62" t="n">
        <f aca="false">Arch!$E$25</f>
        <v>57600</v>
      </c>
      <c r="H28" s="62" t="n">
        <f aca="false">Arch!$E$25</f>
        <v>57600</v>
      </c>
      <c r="I28" s="62" t="n">
        <f aca="false">Arch!$E$25</f>
        <v>57600</v>
      </c>
      <c r="J28" s="62" t="n">
        <f aca="false">Arch!$E$25</f>
        <v>57600</v>
      </c>
      <c r="K28" s="62" t="n">
        <f aca="false">Arch!$E$25</f>
        <v>57600</v>
      </c>
      <c r="L28" s="62" t="n">
        <f aca="false">Arch!$E$25</f>
        <v>57600</v>
      </c>
      <c r="M28" s="62" t="n">
        <f aca="false">Arch!$E$25</f>
        <v>57600</v>
      </c>
      <c r="N28" s="62" t="n">
        <f aca="false">Arch!$E$25</f>
        <v>57600</v>
      </c>
      <c r="O28" s="62" t="n">
        <f aca="false">Arch!$E$25</f>
        <v>57600</v>
      </c>
      <c r="P28" s="62" t="n">
        <f aca="false">Arch!$E$25</f>
        <v>57600</v>
      </c>
      <c r="Q28" s="62" t="n">
        <f aca="false">Arch!$E$25</f>
        <v>57600</v>
      </c>
    </row>
    <row r="29" customFormat="false" ht="15" hidden="false" customHeight="false" outlineLevel="0" collapsed="false">
      <c r="A29" s="5" t="s">
        <v>1738</v>
      </c>
      <c r="B29" s="61" t="s">
        <v>807</v>
      </c>
      <c r="C29" s="157" t="n">
        <f aca="false">C28*1000000/1000000000*C$13*B4_Retain/B4_Hits</f>
        <v>0.000273972602739726</v>
      </c>
      <c r="D29" s="157" t="n">
        <f aca="false">D28*1000000/1000000000*D$13*B4_Retain/B4_Hits</f>
        <v>0.000273972602739726</v>
      </c>
      <c r="E29" s="157" t="n">
        <f aca="false">E28*1000000/1000000000*E$13*B4_Retain/B4_Hits</f>
        <v>0.000273972602739726</v>
      </c>
      <c r="F29" s="157" t="n">
        <f aca="false">F28*1000000/1000000000*F$13*B4_Retain/B4_Hits</f>
        <v>0.000273972602739726</v>
      </c>
      <c r="G29" s="157" t="n">
        <f aca="false">G28*1000000/1000000000*G$13*B4_Retain/B4_Hits</f>
        <v>0.000273972602739726</v>
      </c>
      <c r="H29" s="157" t="n">
        <f aca="false">H28*1000000/1000000000*H$13*B4_Retain/B4_Hits</f>
        <v>0.000273972602739726</v>
      </c>
      <c r="I29" s="157" t="n">
        <f aca="false">I28*1000000/1000000000*I$13*B4_Retain/B4_Hits</f>
        <v>0.000273972602739726</v>
      </c>
      <c r="J29" s="157" t="n">
        <f aca="false">J28*1000000/1000000000*J$13*B4_Retain/B4_Hits</f>
        <v>0.000273972602739726</v>
      </c>
      <c r="K29" s="157" t="n">
        <f aca="false">K28*1000000/1000000000*K$13*B4_Retain/B4_Hits</f>
        <v>0.000273972602739726</v>
      </c>
      <c r="L29" s="157" t="n">
        <f aca="false">L28*1000000/1000000000*L$13*B4_Retain/B4_Hits</f>
        <v>0.000273972602739726</v>
      </c>
      <c r="M29" s="157" t="n">
        <f aca="false">M28*1000000/1000000000*M$13*B4_Retain/B4_Hits</f>
        <v>0.000273972602739726</v>
      </c>
      <c r="N29" s="157" t="n">
        <f aca="false">N28*1000000/1000000000*N$13*B4_Retain/B4_Hits</f>
        <v>0.000273972602739726</v>
      </c>
      <c r="O29" s="157" t="n">
        <f aca="false">O28*1000000/1000000000*O$13*B4_Retain/B4_Hits</f>
        <v>0.000273972602739726</v>
      </c>
      <c r="P29" s="157" t="n">
        <f aca="false">P28*1000000/1000000000*P$13*B4_Retain/B4_Hits</f>
        <v>0.000273972602739726</v>
      </c>
      <c r="Q29" s="15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1735</v>
      </c>
      <c r="B30" s="61" t="s">
        <v>103</v>
      </c>
      <c r="C30" s="76" t="n">
        <f aca="false">IF(INDEX(IF_CostCache_Astra,1,C$7)&gt;0,C29/INDEX(IF_CostCache_Astra,1,C$7),0)</f>
        <v>1.58601113224732</v>
      </c>
      <c r="D30" s="76" t="n">
        <f aca="false">IF(INDEX(IF_CostCache_Astra,1,D$7)&gt;0,D29/INDEX(IF_CostCache_Astra,1,D$7),0)</f>
        <v>1.11003020815994</v>
      </c>
      <c r="E30" s="76" t="n">
        <f aca="false">IF(INDEX(IF_CostCache_Astra,1,E$7)&gt;0,E29/INDEX(IF_CostCache_Astra,1,E$7),0)</f>
        <v>0.646355546921421</v>
      </c>
      <c r="F30" s="76" t="n">
        <f aca="false">IF(INDEX(IF_CostCache_Astra,1,F$7)&gt;0,F29/INDEX(IF_CostCache_Astra,1,F$7),0)</f>
        <v>1.13834379020424</v>
      </c>
      <c r="G30" s="76" t="n">
        <f aca="false">IF(INDEX(IF_CostCache_Astra,1,G$7)&gt;0,G29/INDEX(IF_CostCache_Astra,1,G$7),0)</f>
        <v>0.852557639948957</v>
      </c>
      <c r="H30" s="76" t="n">
        <f aca="false">IF(INDEX(IF_CostCache_Astra,1,H$7)&gt;0,H29/INDEX(IF_CostCache_Astra,1,H$7),0)</f>
        <v>0.525647284911602</v>
      </c>
      <c r="I30" s="76" t="n">
        <f aca="false">IF(INDEX(IF_CostCache_Astra,1,I$7)&gt;0,I29/INDEX(IF_CostCache_Astra,1,I$7),0)</f>
        <v>0.866675457287835</v>
      </c>
      <c r="J30" s="76" t="n">
        <f aca="false">IF(INDEX(IF_CostCache_Astra,1,J$7)&gt;0,J29/INDEX(IF_CostCache_Astra,1,J$7),0)</f>
        <v>0.67103106786838</v>
      </c>
      <c r="K30" s="76" t="n">
        <f aca="false">IF(INDEX(IF_CostCache_Astra,1,K$7)&gt;0,K29/INDEX(IF_CostCache_Astra,1,K$7),0)</f>
        <v>0.394133246217469</v>
      </c>
      <c r="L30" s="76" t="n">
        <f aca="false">IF(INDEX(IF_CostCache_Astra,1,L$7)&gt;0,L29/INDEX(IF_CostCache_Astra,1,L$7),0)</f>
        <v>0.460063563137044</v>
      </c>
      <c r="M30" s="76" t="n">
        <f aca="false">IF(INDEX(IF_CostCache_Astra,1,M$7)&gt;0,M29/INDEX(IF_CostCache_Astra,1,M$7),0)</f>
        <v>0.357954306902294</v>
      </c>
      <c r="N30" s="76" t="n">
        <f aca="false">IF(INDEX(IF_CostCache_Astra,1,N$7)&gt;0,N29/INDEX(IF_CostCache_Astra,1,N$7),0)</f>
        <v>0.221570687469206</v>
      </c>
      <c r="O30" s="76" t="n">
        <f aca="false">IF(INDEX(IF_CostCache_Astra,1,O$7)&gt;0,O29/INDEX(IF_CostCache_Astra,1,O$7),0)</f>
        <v>0.289174667438418</v>
      </c>
      <c r="P30" s="76" t="n">
        <f aca="false">IF(INDEX(IF_CostCache_Astra,1,P$7)&gt;0,P29/INDEX(IF_CostCache_Astra,1,P$7),0)</f>
        <v>0.190263655018429</v>
      </c>
      <c r="Q30" s="76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1736</v>
      </c>
      <c r="B31" s="61" t="s">
        <v>99</v>
      </c>
      <c r="C31" s="102" t="n">
        <f aca="false">C29/INDEX(B4_EffCache,1,3)</f>
        <v>0.000342465753424657</v>
      </c>
      <c r="D31" s="102" t="n">
        <f aca="false">D29/INDEX(B4_EffCache,1,3)</f>
        <v>0.000342465753424657</v>
      </c>
      <c r="E31" s="102" t="n">
        <f aca="false">E29/INDEX(B4_EffCache,1,3)</f>
        <v>0.000342465753424657</v>
      </c>
      <c r="F31" s="102" t="n">
        <f aca="false">F29/INDEX(B4_EffCache,1,3)</f>
        <v>0.000342465753424657</v>
      </c>
      <c r="G31" s="102" t="n">
        <f aca="false">G29/INDEX(B4_EffCache,1,3)</f>
        <v>0.000342465753424657</v>
      </c>
      <c r="H31" s="102" t="n">
        <f aca="false">H29/INDEX(B4_EffCache,1,3)</f>
        <v>0.000342465753424657</v>
      </c>
      <c r="I31" s="102" t="n">
        <f aca="false">I29/INDEX(B4_EffCache,1,3)</f>
        <v>0.000342465753424657</v>
      </c>
      <c r="J31" s="102" t="n">
        <f aca="false">J29/INDEX(B4_EffCache,1,3)</f>
        <v>0.000342465753424657</v>
      </c>
      <c r="K31" s="102" t="n">
        <f aca="false">K29/INDEX(B4_EffCache,1,3)</f>
        <v>0.000342465753424657</v>
      </c>
      <c r="L31" s="102" t="n">
        <f aca="false">L29/INDEX(B4_EffCache,1,3)</f>
        <v>0.000342465753424657</v>
      </c>
      <c r="M31" s="102" t="n">
        <f aca="false">M29/INDEX(B4_EffCache,1,3)</f>
        <v>0.000342465753424657</v>
      </c>
      <c r="N31" s="102" t="n">
        <f aca="false">N29/INDEX(B4_EffCache,1,3)</f>
        <v>0.000342465753424657</v>
      </c>
      <c r="O31" s="102" t="n">
        <f aca="false">O29/INDEX(B4_EffCache,1,3)</f>
        <v>0.000342465753424657</v>
      </c>
      <c r="P31" s="102" t="n">
        <f aca="false">P29/INDEX(B4_EffCache,1,3)</f>
        <v>0.000342465753424657</v>
      </c>
      <c r="Q31" s="102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1739</v>
      </c>
    </row>
    <row r="2" customFormat="false" ht="15" hidden="false" customHeight="false" outlineLevel="0" collapsed="false">
      <c r="A2" s="73" t="s">
        <v>1740</v>
      </c>
    </row>
    <row r="4" customFormat="false" ht="15" hidden="false" customHeight="false" outlineLevel="0" collapsed="false">
      <c r="A4" s="59" t="s">
        <v>171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452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1726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1741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1742</v>
      </c>
      <c r="B10" s="61" t="s">
        <v>91</v>
      </c>
      <c r="C10" s="114" t="n">
        <f aca="false">B4_Serve</f>
        <v>0.41</v>
      </c>
      <c r="D10" s="114" t="n">
        <f aca="false">B4_Serve</f>
        <v>0.41</v>
      </c>
      <c r="E10" s="114" t="n">
        <f aca="false">B4_Serve</f>
        <v>0.41</v>
      </c>
      <c r="F10" s="114" t="n">
        <f aca="false">B4_Serve</f>
        <v>0.41</v>
      </c>
      <c r="G10" s="114" t="n">
        <f aca="false">B4_Serve</f>
        <v>0.41</v>
      </c>
      <c r="H10" s="114" t="n">
        <f aca="false">B4_Serve</f>
        <v>0.41</v>
      </c>
      <c r="I10" s="114" t="n">
        <f aca="false">B4_Serve</f>
        <v>0.41</v>
      </c>
      <c r="J10" s="114" t="n">
        <f aca="false">B4_Serve</f>
        <v>0.41</v>
      </c>
      <c r="K10" s="114" t="n">
        <f aca="false">B4_Serve</f>
        <v>0.41</v>
      </c>
      <c r="L10" s="114" t="n">
        <f aca="false">B4_Serve</f>
        <v>0.41</v>
      </c>
      <c r="M10" s="114" t="n">
        <f aca="false">B4_Serve</f>
        <v>0.41</v>
      </c>
      <c r="N10" s="114" t="n">
        <f aca="false">B4_Serve</f>
        <v>0.41</v>
      </c>
      <c r="O10" s="114" t="n">
        <f aca="false">B4_Serve</f>
        <v>0.41</v>
      </c>
      <c r="P10" s="114" t="n">
        <f aca="false">B4_Serve</f>
        <v>0.41</v>
      </c>
      <c r="Q10" s="114" t="n">
        <f aca="false">B4_Serve</f>
        <v>0.41</v>
      </c>
    </row>
    <row r="11" customFormat="false" ht="15" hidden="false" customHeight="false" outlineLevel="0" collapsed="false">
      <c r="A11" s="5" t="s">
        <v>1743</v>
      </c>
      <c r="B11" s="61" t="s">
        <v>91</v>
      </c>
      <c r="C11" s="106" t="n">
        <f aca="false">B4_Serve*(1-B4_Free)</f>
        <v>0.2214</v>
      </c>
      <c r="D11" s="106" t="n">
        <f aca="false">B4_Serve*(1-B4_Free)</f>
        <v>0.2214</v>
      </c>
      <c r="E11" s="106" t="n">
        <f aca="false">B4_Serve*(1-B4_Free)</f>
        <v>0.2214</v>
      </c>
      <c r="F11" s="106" t="n">
        <f aca="false">B4_Serve*(1-B4_Free)</f>
        <v>0.2214</v>
      </c>
      <c r="G11" s="106" t="n">
        <f aca="false">B4_Serve*(1-B4_Free)</f>
        <v>0.2214</v>
      </c>
      <c r="H11" s="106" t="n">
        <f aca="false">B4_Serve*(1-B4_Free)</f>
        <v>0.2214</v>
      </c>
      <c r="I11" s="106" t="n">
        <f aca="false">B4_Serve*(1-B4_Free)</f>
        <v>0.2214</v>
      </c>
      <c r="J11" s="106" t="n">
        <f aca="false">B4_Serve*(1-B4_Free)</f>
        <v>0.2214</v>
      </c>
      <c r="K11" s="106" t="n">
        <f aca="false">B4_Serve*(1-B4_Free)</f>
        <v>0.2214</v>
      </c>
      <c r="L11" s="106" t="n">
        <f aca="false">B4_Serve*(1-B4_Free)</f>
        <v>0.2214</v>
      </c>
      <c r="M11" s="106" t="n">
        <f aca="false">B4_Serve*(1-B4_Free)</f>
        <v>0.2214</v>
      </c>
      <c r="N11" s="106" t="n">
        <f aca="false">B4_Serve*(1-B4_Free)</f>
        <v>0.2214</v>
      </c>
      <c r="O11" s="106" t="n">
        <f aca="false">B4_Serve*(1-B4_Free)</f>
        <v>0.2214</v>
      </c>
      <c r="P11" s="106" t="n">
        <f aca="false">B4_Serve*(1-B4_Free)</f>
        <v>0.2214</v>
      </c>
      <c r="Q11" s="106" t="n">
        <f aca="false">B4_Serve*(1-B4_Free)</f>
        <v>0.2214</v>
      </c>
    </row>
    <row r="12" customFormat="false" ht="15" hidden="false" customHeight="false" outlineLevel="0" collapsed="false">
      <c r="A12" s="5" t="s">
        <v>1744</v>
      </c>
      <c r="B12" s="61" t="s">
        <v>91</v>
      </c>
      <c r="C12" s="114" t="n">
        <f aca="false">B4_Serve*B4_Free</f>
        <v>0.1886</v>
      </c>
      <c r="D12" s="114" t="n">
        <f aca="false">B4_Serve*B4_Free</f>
        <v>0.1886</v>
      </c>
      <c r="E12" s="114" t="n">
        <f aca="false">B4_Serve*B4_Free</f>
        <v>0.1886</v>
      </c>
      <c r="F12" s="114" t="n">
        <f aca="false">B4_Serve*B4_Free</f>
        <v>0.1886</v>
      </c>
      <c r="G12" s="114" t="n">
        <f aca="false">B4_Serve*B4_Free</f>
        <v>0.1886</v>
      </c>
      <c r="H12" s="114" t="n">
        <f aca="false">B4_Serve*B4_Free</f>
        <v>0.1886</v>
      </c>
      <c r="I12" s="114" t="n">
        <f aca="false">B4_Serve*B4_Free</f>
        <v>0.1886</v>
      </c>
      <c r="J12" s="114" t="n">
        <f aca="false">B4_Serve*B4_Free</f>
        <v>0.1886</v>
      </c>
      <c r="K12" s="114" t="n">
        <f aca="false">B4_Serve*B4_Free</f>
        <v>0.1886</v>
      </c>
      <c r="L12" s="114" t="n">
        <f aca="false">B4_Serve*B4_Free</f>
        <v>0.1886</v>
      </c>
      <c r="M12" s="114" t="n">
        <f aca="false">B4_Serve*B4_Free</f>
        <v>0.1886</v>
      </c>
      <c r="N12" s="114" t="n">
        <f aca="false">B4_Serve*B4_Free</f>
        <v>0.1886</v>
      </c>
      <c r="O12" s="114" t="n">
        <f aca="false">B4_Serve*B4_Free</f>
        <v>0.1886</v>
      </c>
      <c r="P12" s="114" t="n">
        <f aca="false">B4_Serve*B4_Free</f>
        <v>0.1886</v>
      </c>
      <c r="Q12" s="114" t="n">
        <f aca="false">B4_Serve*B4_Free</f>
        <v>0.1886</v>
      </c>
    </row>
    <row r="13" customFormat="false" ht="15" hidden="false" customHeight="false" outlineLevel="0" collapsed="false">
      <c r="A13" s="5" t="s">
        <v>1745</v>
      </c>
      <c r="B13" s="61" t="s">
        <v>91</v>
      </c>
      <c r="C13" s="106" t="n">
        <f aca="false">1-B4_Serve</f>
        <v>0.59</v>
      </c>
      <c r="D13" s="106" t="n">
        <f aca="false">1-B4_Serve</f>
        <v>0.59</v>
      </c>
      <c r="E13" s="106" t="n">
        <f aca="false">1-B4_Serve</f>
        <v>0.59</v>
      </c>
      <c r="F13" s="106" t="n">
        <f aca="false">1-B4_Serve</f>
        <v>0.59</v>
      </c>
      <c r="G13" s="106" t="n">
        <f aca="false">1-B4_Serve</f>
        <v>0.59</v>
      </c>
      <c r="H13" s="106" t="n">
        <f aca="false">1-B4_Serve</f>
        <v>0.59</v>
      </c>
      <c r="I13" s="106" t="n">
        <f aca="false">1-B4_Serve</f>
        <v>0.59</v>
      </c>
      <c r="J13" s="106" t="n">
        <f aca="false">1-B4_Serve</f>
        <v>0.59</v>
      </c>
      <c r="K13" s="106" t="n">
        <f aca="false">1-B4_Serve</f>
        <v>0.59</v>
      </c>
      <c r="L13" s="106" t="n">
        <f aca="false">1-B4_Serve</f>
        <v>0.59</v>
      </c>
      <c r="M13" s="106" t="n">
        <f aca="false">1-B4_Serve</f>
        <v>0.59</v>
      </c>
      <c r="N13" s="106" t="n">
        <f aca="false">1-B4_Serve</f>
        <v>0.59</v>
      </c>
      <c r="O13" s="106" t="n">
        <f aca="false">1-B4_Serve</f>
        <v>0.59</v>
      </c>
      <c r="P13" s="106" t="n">
        <f aca="false">1-B4_Serve</f>
        <v>0.59</v>
      </c>
      <c r="Q13" s="106" t="n">
        <f aca="false">1-B4_Serve</f>
        <v>0.59</v>
      </c>
    </row>
    <row r="14" customFormat="false" ht="15" hidden="false" customHeight="false" outlineLevel="0" collapsed="false">
      <c r="A14" s="5" t="s">
        <v>1746</v>
      </c>
      <c r="B14" s="61" t="s">
        <v>91</v>
      </c>
      <c r="C14" s="114" t="n">
        <f aca="false">(1-B4_Serve)/IF_RDMult</f>
        <v>0.07375</v>
      </c>
      <c r="D14" s="114" t="n">
        <f aca="false">(1-B4_Serve)/IF_RDMult</f>
        <v>0.07375</v>
      </c>
      <c r="E14" s="114" t="n">
        <f aca="false">(1-B4_Serve)/IF_RDMult</f>
        <v>0.07375</v>
      </c>
      <c r="F14" s="114" t="n">
        <f aca="false">(1-B4_Serve)/IF_RDMult</f>
        <v>0.07375</v>
      </c>
      <c r="G14" s="114" t="n">
        <f aca="false">(1-B4_Serve)/IF_RDMult</f>
        <v>0.07375</v>
      </c>
      <c r="H14" s="114" t="n">
        <f aca="false">(1-B4_Serve)/IF_RDMult</f>
        <v>0.07375</v>
      </c>
      <c r="I14" s="114" t="n">
        <f aca="false">(1-B4_Serve)/IF_RDMult</f>
        <v>0.07375</v>
      </c>
      <c r="J14" s="114" t="n">
        <f aca="false">(1-B4_Serve)/IF_RDMult</f>
        <v>0.07375</v>
      </c>
      <c r="K14" s="114" t="n">
        <f aca="false">(1-B4_Serve)/IF_RDMult</f>
        <v>0.07375</v>
      </c>
      <c r="L14" s="114" t="n">
        <f aca="false">(1-B4_Serve)/IF_RDMult</f>
        <v>0.07375</v>
      </c>
      <c r="M14" s="114" t="n">
        <f aca="false">(1-B4_Serve)/IF_RDMult</f>
        <v>0.07375</v>
      </c>
      <c r="N14" s="114" t="n">
        <f aca="false">(1-B4_Serve)/IF_RDMult</f>
        <v>0.07375</v>
      </c>
      <c r="O14" s="114" t="n">
        <f aca="false">(1-B4_Serve)/IF_RDMult</f>
        <v>0.07375</v>
      </c>
      <c r="P14" s="114" t="n">
        <f aca="false">(1-B4_Serve)/IF_RDMult</f>
        <v>0.07375</v>
      </c>
      <c r="Q14" s="114" t="n">
        <f aca="false">(1-B4_Serve)/IF_RDMult</f>
        <v>0.07375</v>
      </c>
    </row>
    <row r="15" customFormat="false" ht="15" hidden="false" customHeight="false" outlineLevel="0" collapsed="false">
      <c r="A15" s="5" t="s">
        <v>1747</v>
      </c>
      <c r="B15" s="61" t="s">
        <v>91</v>
      </c>
      <c r="C15" s="114" t="n">
        <f aca="false">(1-B4_Serve)*(1-1/IF_RDMult)</f>
        <v>0.51625</v>
      </c>
      <c r="D15" s="114" t="n">
        <f aca="false">(1-B4_Serve)*(1-1/IF_RDMult)</f>
        <v>0.51625</v>
      </c>
      <c r="E15" s="114" t="n">
        <f aca="false">(1-B4_Serve)*(1-1/IF_RDMult)</f>
        <v>0.51625</v>
      </c>
      <c r="F15" s="114" t="n">
        <f aca="false">(1-B4_Serve)*(1-1/IF_RDMult)</f>
        <v>0.51625</v>
      </c>
      <c r="G15" s="114" t="n">
        <f aca="false">(1-B4_Serve)*(1-1/IF_RDMult)</f>
        <v>0.51625</v>
      </c>
      <c r="H15" s="114" t="n">
        <f aca="false">(1-B4_Serve)*(1-1/IF_RDMult)</f>
        <v>0.51625</v>
      </c>
      <c r="I15" s="114" t="n">
        <f aca="false">(1-B4_Serve)*(1-1/IF_RDMult)</f>
        <v>0.51625</v>
      </c>
      <c r="J15" s="114" t="n">
        <f aca="false">(1-B4_Serve)*(1-1/IF_RDMult)</f>
        <v>0.51625</v>
      </c>
      <c r="K15" s="114" t="n">
        <f aca="false">(1-B4_Serve)*(1-1/IF_RDMult)</f>
        <v>0.51625</v>
      </c>
      <c r="L15" s="114" t="n">
        <f aca="false">(1-B4_Serve)*(1-1/IF_RDMult)</f>
        <v>0.51625</v>
      </c>
      <c r="M15" s="114" t="n">
        <f aca="false">(1-B4_Serve)*(1-1/IF_RDMult)</f>
        <v>0.51625</v>
      </c>
      <c r="N15" s="114" t="n">
        <f aca="false">(1-B4_Serve)*(1-1/IF_RDMult)</f>
        <v>0.51625</v>
      </c>
      <c r="O15" s="114" t="n">
        <f aca="false">(1-B4_Serve)*(1-1/IF_RDMult)</f>
        <v>0.51625</v>
      </c>
      <c r="P15" s="114" t="n">
        <f aca="false">(1-B4_Serve)*(1-1/IF_RDMult)</f>
        <v>0.51625</v>
      </c>
      <c r="Q15" s="114" t="n">
        <f aca="false">(1-B4_Serve)*(1-1/IF_RDMult)</f>
        <v>0.51625</v>
      </c>
    </row>
    <row r="17" customFormat="false" ht="15" hidden="false" customHeight="false" outlineLevel="0" collapsed="false">
      <c r="A17" s="75" t="s">
        <v>1748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</row>
    <row r="18" customFormat="false" ht="29.85" hidden="false" customHeight="false" outlineLevel="0" collapsed="false">
      <c r="A18" s="5" t="s">
        <v>1749</v>
      </c>
      <c r="B18" s="60" t="s">
        <v>1750</v>
      </c>
      <c r="C18" s="111" t="n">
        <f aca="false">IF(AND(C41&gt;0,C42&gt;0),1,0)</f>
        <v>1</v>
      </c>
      <c r="D18" s="111" t="n">
        <f aca="false">IF(AND(D41&gt;0,D42&gt;0),1,0)</f>
        <v>1</v>
      </c>
      <c r="E18" s="111" t="n">
        <f aca="false">IF(AND(E41&gt;0,E42&gt;0),1,0)</f>
        <v>1</v>
      </c>
      <c r="F18" s="111" t="n">
        <f aca="false">IF(AND(F41&gt;0,F42&gt;0),1,0)</f>
        <v>1</v>
      </c>
      <c r="G18" s="111" t="n">
        <f aca="false">IF(AND(G41&gt;0,G42&gt;0),1,0)</f>
        <v>1</v>
      </c>
      <c r="H18" s="111" t="n">
        <f aca="false">IF(AND(H41&gt;0,H42&gt;0),1,0)</f>
        <v>1</v>
      </c>
      <c r="I18" s="111" t="n">
        <f aca="false">IF(AND(I41&gt;0,I42&gt;0),1,0)</f>
        <v>1</v>
      </c>
      <c r="J18" s="111" t="n">
        <f aca="false">IF(AND(J41&gt;0,J42&gt;0),1,0)</f>
        <v>1</v>
      </c>
      <c r="K18" s="111" t="n">
        <f aca="false">IF(AND(K41&gt;0,K42&gt;0),1,0)</f>
        <v>1</v>
      </c>
      <c r="L18" s="111" t="n">
        <f aca="false">IF(AND(L41&gt;0,L42&gt;0),1,0)</f>
        <v>1</v>
      </c>
      <c r="M18" s="111" t="n">
        <f aca="false">IF(AND(M41&gt;0,M42&gt;0),1,0)</f>
        <v>1</v>
      </c>
      <c r="N18" s="111" t="n">
        <f aca="false">IF(AND(N41&gt;0,N42&gt;0),1,0)</f>
        <v>1</v>
      </c>
      <c r="O18" s="111" t="n">
        <f aca="false">IF(AND(O41&gt;0,O42&gt;0),1,0)</f>
        <v>1</v>
      </c>
      <c r="P18" s="111" t="n">
        <f aca="false">IF(AND(P41&gt;0,P42&gt;0),1,0)</f>
        <v>1</v>
      </c>
      <c r="Q18" s="111" t="n">
        <f aca="false">IF(AND(Q41&gt;0,Q42&gt;0),1,0)</f>
        <v>1</v>
      </c>
    </row>
    <row r="19" customFormat="false" ht="15" hidden="false" customHeight="false" outlineLevel="0" collapsed="false">
      <c r="A19" s="5" t="s">
        <v>1751</v>
      </c>
      <c r="B19" s="61" t="s">
        <v>799</v>
      </c>
      <c r="C19" s="67" t="n">
        <f aca="false">IF(C18=1,C11*IF_Util/(IF(C38=1,C44/INDEX(IF_TokGW_Luna,1,C$7),0)+IF(C39=1,C45/INDEX(IF_TokGW_Sol,1,C$7),0)+IF(C40=1,C46/INDEX(IF_TokGW_Astra,1,C$7),0)),"SLO 不可達")</f>
        <v>3709104525.11044</v>
      </c>
      <c r="D19" s="67" t="n">
        <f aca="false">IF(D18=1,D11*IF_Util/(IF(D38=1,D44/INDEX(IF_TokGW_Luna,1,D$7),0)+IF(D39=1,D45/INDEX(IF_TokGW_Sol,1,D$7),0)+IF(D40=1,D46/INDEX(IF_TokGW_Astra,1,D$7),0)),"SLO 不可達")</f>
        <v>3709104525.11044</v>
      </c>
      <c r="E19" s="67" t="n">
        <f aca="false">IF(E18=1,E11*IF_Util/(IF(E38=1,E44/INDEX(IF_TokGW_Luna,1,E$7),0)+IF(E39=1,E45/INDEX(IF_TokGW_Sol,1,E$7),0)+IF(E40=1,E46/INDEX(IF_TokGW_Astra,1,E$7),0)),"SLO 不可達")</f>
        <v>3709104525.11044</v>
      </c>
      <c r="F19" s="67" t="n">
        <f aca="false">IF(F18=1,F11*IF_Util/(IF(F38=1,F44/INDEX(IF_TokGW_Luna,1,F$7),0)+IF(F39=1,F45/INDEX(IF_TokGW_Sol,1,F$7),0)+IF(F40=1,F46/INDEX(IF_TokGW_Astra,1,F$7),0)),"SLO 不可達")</f>
        <v>10289624820.3576</v>
      </c>
      <c r="G19" s="67" t="n">
        <f aca="false">IF(G18=1,G11*IF_Util/(IF(G38=1,G44/INDEX(IF_TokGW_Luna,1,G$7),0)+IF(G39=1,G45/INDEX(IF_TokGW_Sol,1,G$7),0)+IF(G40=1,G46/INDEX(IF_TokGW_Astra,1,G$7),0)),"SLO 不可達")</f>
        <v>10289624820.3576</v>
      </c>
      <c r="H19" s="67" t="n">
        <f aca="false">IF(H18=1,H11*IF_Util/(IF(H38=1,H44/INDEX(IF_TokGW_Luna,1,H$7),0)+IF(H39=1,H45/INDEX(IF_TokGW_Sol,1,H$7),0)+IF(H40=1,H46/INDEX(IF_TokGW_Astra,1,H$7),0)),"SLO 不可達")</f>
        <v>10289624820.3576</v>
      </c>
      <c r="I19" s="67" t="n">
        <f aca="false">IF(I18=1,I11*IF_Util/(IF(I38=1,I44/INDEX(IF_TokGW_Luna,1,I$7),0)+IF(I39=1,I45/INDEX(IF_TokGW_Sol,1,I$7),0)+IF(I40=1,I46/INDEX(IF_TokGW_Astra,1,I$7),0)),"SLO 不可達")</f>
        <v>13396013239.0361</v>
      </c>
      <c r="J19" s="67" t="n">
        <f aca="false">IF(J18=1,J11*IF_Util/(IF(J38=1,J44/INDEX(IF_TokGW_Luna,1,J$7),0)+IF(J39=1,J45/INDEX(IF_TokGW_Sol,1,J$7),0)+IF(J40=1,J46/INDEX(IF_TokGW_Astra,1,J$7),0)),"SLO 不可達")</f>
        <v>13396013239.0361</v>
      </c>
      <c r="K19" s="67" t="n">
        <f aca="false">IF(K18=1,K11*IF_Util/(IF(K38=1,K44/INDEX(IF_TokGW_Luna,1,K$7),0)+IF(K39=1,K45/INDEX(IF_TokGW_Sol,1,K$7),0)+IF(K40=1,K46/INDEX(IF_TokGW_Astra,1,K$7),0)),"SLO 不可達")</f>
        <v>13396013239.0361</v>
      </c>
      <c r="L19" s="67" t="n">
        <f aca="false">IF(L18=1,L11*IF_Util/(IF(L38=1,L44/INDEX(IF_TokGW_Luna,1,L$7),0)+IF(L39=1,L45/INDEX(IF_TokGW_Sol,1,L$7),0)+IF(L40=1,L46/INDEX(IF_TokGW_Astra,1,L$7),0)),"SLO 不可達")</f>
        <v>24850466374.1716</v>
      </c>
      <c r="M19" s="67" t="n">
        <f aca="false">IF(M18=1,M11*IF_Util/(IF(M38=1,M44/INDEX(IF_TokGW_Luna,1,M$7),0)+IF(M39=1,M45/INDEX(IF_TokGW_Sol,1,M$7),0)+IF(M40=1,M46/INDEX(IF_TokGW_Astra,1,M$7),0)),"SLO 不可達")</f>
        <v>24850466374.1716</v>
      </c>
      <c r="N19" s="67" t="n">
        <f aca="false">IF(N18=1,N11*IF_Util/(IF(N38=1,N44/INDEX(IF_TokGW_Luna,1,N$7),0)+IF(N39=1,N45/INDEX(IF_TokGW_Sol,1,N$7),0)+IF(N40=1,N46/INDEX(IF_TokGW_Astra,1,N$7),0)),"SLO 不可達")</f>
        <v>24850466374.1716</v>
      </c>
      <c r="O19" s="67" t="n">
        <f aca="false">IF(O18=1,O11*IF_Util/(IF(O38=1,O44/INDEX(IF_TokGW_Luna,1,O$7),0)+IF(O39=1,O45/INDEX(IF_TokGW_Sol,1,O$7),0)+IF(O40=1,O46/INDEX(IF_TokGW_Astra,1,O$7),0)),"SLO 不可達")</f>
        <v>35155039047.5893</v>
      </c>
      <c r="P19" s="67" t="n">
        <f aca="false">IF(P18=1,P11*IF_Util/(IF(P38=1,P44/INDEX(IF_TokGW_Luna,1,P$7),0)+IF(P39=1,P45/INDEX(IF_TokGW_Sol,1,P$7),0)+IF(P40=1,P46/INDEX(IF_TokGW_Astra,1,P$7),0)),"SLO 不可達")</f>
        <v>35155039047.5893</v>
      </c>
      <c r="Q19" s="67" t="n">
        <f aca="false">IF(Q18=1,Q11*IF_Util/(IF(Q38=1,Q44/INDEX(IF_TokGW_Luna,1,Q$7),0)+IF(Q39=1,Q45/INDEX(IF_TokGW_Sol,1,Q$7),0)+IF(Q40=1,Q46/INDEX(IF_TokGW_Astra,1,Q$7),0)),"SLO 不可達")</f>
        <v>35155039047.5893</v>
      </c>
    </row>
    <row r="20" customFormat="false" ht="15" hidden="false" customHeight="false" outlineLevel="0" collapsed="false">
      <c r="A20" s="5" t="s">
        <v>1752</v>
      </c>
      <c r="B20" s="61" t="s">
        <v>799</v>
      </c>
      <c r="C20" s="67" t="n">
        <f aca="false">IF(C18=1,C12*IF_Util/(IF(C38=1,C47/INDEX(IF_TokGW_Luna,1,C$7),0)+IF(C39=1,C48/INDEX(IF_TokGW_Sol,1,C$7),0)+IF(C40=1,C49/INDEX(IF_TokGW_Astra,1,C$7),0)),"SLO 不可達")</f>
        <v>5824793804.69183</v>
      </c>
      <c r="D20" s="67" t="n">
        <f aca="false">IF(D18=1,D12*IF_Util/(IF(D38=1,D47/INDEX(IF_TokGW_Luna,1,D$7),0)+IF(D39=1,D48/INDEX(IF_TokGW_Sol,1,D$7),0)+IF(D40=1,D49/INDEX(IF_TokGW_Astra,1,D$7),0)),"SLO 不可達")</f>
        <v>5824793804.69183</v>
      </c>
      <c r="E20" s="67" t="n">
        <f aca="false">IF(E18=1,E12*IF_Util/(IF(E38=1,E47/INDEX(IF_TokGW_Luna,1,E$7),0)+IF(E39=1,E48/INDEX(IF_TokGW_Sol,1,E$7),0)+IF(E40=1,E49/INDEX(IF_TokGW_Astra,1,E$7),0)),"SLO 不可達")</f>
        <v>5824793804.69183</v>
      </c>
      <c r="F20" s="67" t="n">
        <f aca="false">IF(F18=1,F12*IF_Util/(IF(F38=1,F47/INDEX(IF_TokGW_Luna,1,F$7),0)+IF(F39=1,F48/INDEX(IF_TokGW_Sol,1,F$7),0)+IF(F40=1,F49/INDEX(IF_TokGW_Astra,1,F$7),0)),"SLO 不可達")</f>
        <v>32852732346.2495</v>
      </c>
      <c r="G20" s="67" t="n">
        <f aca="false">IF(G18=1,G12*IF_Util/(IF(G38=1,G47/INDEX(IF_TokGW_Luna,1,G$7),0)+IF(G39=1,G48/INDEX(IF_TokGW_Sol,1,G$7),0)+IF(G40=1,G49/INDEX(IF_TokGW_Astra,1,G$7),0)),"SLO 不可達")</f>
        <v>32852732346.2495</v>
      </c>
      <c r="H20" s="67" t="n">
        <f aca="false">IF(H18=1,H12*IF_Util/(IF(H38=1,H47/INDEX(IF_TokGW_Luna,1,H$7),0)+IF(H39=1,H48/INDEX(IF_TokGW_Sol,1,H$7),0)+IF(H40=1,H49/INDEX(IF_TokGW_Astra,1,H$7),0)),"SLO 不可達")</f>
        <v>32852732346.2495</v>
      </c>
      <c r="I20" s="67" t="n">
        <f aca="false">IF(I18=1,I12*IF_Util/(IF(I38=1,I47/INDEX(IF_TokGW_Luna,1,I$7),0)+IF(I39=1,I48/INDEX(IF_TokGW_Sol,1,I$7),0)+IF(I40=1,I49/INDEX(IF_TokGW_Astra,1,I$7),0)),"SLO 不可達")</f>
        <v>47829505292.7318</v>
      </c>
      <c r="J20" s="67" t="n">
        <f aca="false">IF(J18=1,J12*IF_Util/(IF(J38=1,J47/INDEX(IF_TokGW_Luna,1,J$7),0)+IF(J39=1,J48/INDEX(IF_TokGW_Sol,1,J$7),0)+IF(J40=1,J49/INDEX(IF_TokGW_Astra,1,J$7),0)),"SLO 不可達")</f>
        <v>47829505292.7318</v>
      </c>
      <c r="K20" s="67" t="n">
        <f aca="false">IF(K18=1,K12*IF_Util/(IF(K38=1,K47/INDEX(IF_TokGW_Luna,1,K$7),0)+IF(K39=1,K48/INDEX(IF_TokGW_Sol,1,K$7),0)+IF(K40=1,K49/INDEX(IF_TokGW_Astra,1,K$7),0)),"SLO 不可達")</f>
        <v>47829505292.7318</v>
      </c>
      <c r="L20" s="67" t="n">
        <f aca="false">IF(L18=1,L12*IF_Util/(IF(L38=1,L47/INDEX(IF_TokGW_Luna,1,L$7),0)+IF(L39=1,L48/INDEX(IF_TokGW_Sol,1,L$7),0)+IF(L40=1,L49/INDEX(IF_TokGW_Astra,1,L$7),0)),"SLO 不可達")</f>
        <v>71346660837.6243</v>
      </c>
      <c r="M20" s="67" t="n">
        <f aca="false">IF(M18=1,M12*IF_Util/(IF(M38=1,M47/INDEX(IF_TokGW_Luna,1,M$7),0)+IF(M39=1,M48/INDEX(IF_TokGW_Sol,1,M$7),0)+IF(M40=1,M49/INDEX(IF_TokGW_Astra,1,M$7),0)),"SLO 不可達")</f>
        <v>71346660837.6243</v>
      </c>
      <c r="N20" s="67" t="n">
        <f aca="false">IF(N18=1,N12*IF_Util/(IF(N38=1,N47/INDEX(IF_TokGW_Luna,1,N$7),0)+IF(N39=1,N48/INDEX(IF_TokGW_Sol,1,N$7),0)+IF(N40=1,N49/INDEX(IF_TokGW_Astra,1,N$7),0)),"SLO 不可達")</f>
        <v>71346660837.6243</v>
      </c>
      <c r="O20" s="67" t="n">
        <f aca="false">IF(O18=1,O12*IF_Util/(IF(O38=1,O47/INDEX(IF_TokGW_Luna,1,O$7),0)+IF(O39=1,O48/INDEX(IF_TokGW_Sol,1,O$7),0)+IF(O40=1,O49/INDEX(IF_TokGW_Astra,1,O$7),0)),"SLO 不可達")</f>
        <v>96855836069.047</v>
      </c>
      <c r="P20" s="67" t="n">
        <f aca="false">IF(P18=1,P12*IF_Util/(IF(P38=1,P47/INDEX(IF_TokGW_Luna,1,P$7),0)+IF(P39=1,P48/INDEX(IF_TokGW_Sol,1,P$7),0)+IF(P40=1,P49/INDEX(IF_TokGW_Astra,1,P$7),0)),"SLO 不可達")</f>
        <v>96855836069.047</v>
      </c>
      <c r="Q20" s="67" t="n">
        <f aca="false">IF(Q18=1,Q12*IF_Util/(IF(Q38=1,Q47/INDEX(IF_TokGW_Luna,1,Q$7),0)+IF(Q39=1,Q48/INDEX(IF_TokGW_Sol,1,Q$7),0)+IF(Q40=1,Q49/INDEX(IF_TokGW_Astra,1,Q$7),0)),"SLO 不可達")</f>
        <v>96855836069.047</v>
      </c>
    </row>
    <row r="21" customFormat="false" ht="15" hidden="false" customHeight="false" outlineLevel="0" collapsed="false">
      <c r="A21" s="6" t="s">
        <v>1753</v>
      </c>
      <c r="B21" s="61" t="s">
        <v>799</v>
      </c>
      <c r="C21" s="67" t="n">
        <f aca="false">IF(AND(C18=1,C38=1),C19*C44,"SLO 不可達")</f>
        <v>1745460952.99315</v>
      </c>
      <c r="D21" s="67" t="n">
        <f aca="false">IF(AND(D18=1,D38=1),D19*D44,"SLO 不可達")</f>
        <v>1745460952.99315</v>
      </c>
      <c r="E21" s="67" t="n">
        <f aca="false">IF(AND(E18=1,E38=1),E19*E44,"SLO 不可達")</f>
        <v>1745460952.99315</v>
      </c>
      <c r="F21" s="67" t="n">
        <f aca="false">IF(AND(F18=1,F38=1),F19*F44,"SLO 不可達")</f>
        <v>4115849928.14302</v>
      </c>
      <c r="G21" s="67" t="n">
        <f aca="false">IF(AND(G18=1,G38=1),G19*G44,"SLO 不可達")</f>
        <v>4115849928.14302</v>
      </c>
      <c r="H21" s="67" t="n">
        <f aca="false">IF(AND(H18=1,H38=1),H19*H44,"SLO 不可達")</f>
        <v>4115849928.14302</v>
      </c>
      <c r="I21" s="67" t="n">
        <f aca="false">IF(AND(I18=1,I38=1),I19*I44,"SLO 不可達")</f>
        <v>5358405295.61443</v>
      </c>
      <c r="J21" s="67" t="n">
        <f aca="false">IF(AND(J18=1,J38=1),J19*J44,"SLO 不可達")</f>
        <v>5358405295.61443</v>
      </c>
      <c r="K21" s="67" t="n">
        <f aca="false">IF(AND(K18=1,K38=1),K19*K44,"SLO 不可達")</f>
        <v>5358405295.61443</v>
      </c>
      <c r="L21" s="67" t="n">
        <f aca="false">IF(AND(L18=1,L38=1),L19*L44,"SLO 不可達")</f>
        <v>9940186549.66862</v>
      </c>
      <c r="M21" s="67" t="n">
        <f aca="false">IF(AND(M18=1,M38=1),M19*M44,"SLO 不可達")</f>
        <v>9940186549.66862</v>
      </c>
      <c r="N21" s="67" t="n">
        <f aca="false">IF(AND(N18=1,N38=1),N19*N44,"SLO 不可達")</f>
        <v>9940186549.66862</v>
      </c>
      <c r="O21" s="67" t="n">
        <f aca="false">IF(AND(O18=1,O38=1),O19*O44,"SLO 不可達")</f>
        <v>14062015619.0357</v>
      </c>
      <c r="P21" s="67" t="n">
        <f aca="false">IF(AND(P18=1,P38=1),P19*P44,"SLO 不可達")</f>
        <v>14062015619.0357</v>
      </c>
      <c r="Q21" s="67" t="n">
        <f aca="false">IF(AND(Q18=1,Q38=1),Q19*Q44,"SLO 不可達")</f>
        <v>14062015619.0357</v>
      </c>
    </row>
    <row r="22" customFormat="false" ht="15" hidden="false" customHeight="false" outlineLevel="0" collapsed="false">
      <c r="A22" s="6" t="s">
        <v>1754</v>
      </c>
      <c r="B22" s="61" t="s">
        <v>799</v>
      </c>
      <c r="C22" s="67" t="n">
        <f aca="false">IF(AND(C18=1,C38=1),C20*C47,"SLO 不可達")</f>
        <v>5242314424.22265</v>
      </c>
      <c r="D22" s="67" t="n">
        <f aca="false">IF(AND(D18=1,D38=1),D20*D47,"SLO 不可達")</f>
        <v>5242314424.22265</v>
      </c>
      <c r="E22" s="67" t="n">
        <f aca="false">IF(AND(E18=1,E38=1),E20*E47,"SLO 不可達")</f>
        <v>5242314424.22265</v>
      </c>
      <c r="F22" s="67" t="n">
        <f aca="false">IF(AND(F18=1,F38=1),F20*F47,"SLO 不可達")</f>
        <v>29567459111.6246</v>
      </c>
      <c r="G22" s="67" t="n">
        <f aca="false">IF(AND(G18=1,G38=1),G20*G47,"SLO 不可達")</f>
        <v>29567459111.6246</v>
      </c>
      <c r="H22" s="67" t="n">
        <f aca="false">IF(AND(H18=1,H38=1),H20*H47,"SLO 不可達")</f>
        <v>29567459111.6246</v>
      </c>
      <c r="I22" s="67" t="n">
        <f aca="false">IF(AND(I18=1,I38=1),I20*I47,"SLO 不可達")</f>
        <v>43046554763.4586</v>
      </c>
      <c r="J22" s="67" t="n">
        <f aca="false">IF(AND(J18=1,J38=1),J20*J47,"SLO 不可達")</f>
        <v>43046554763.4586</v>
      </c>
      <c r="K22" s="67" t="n">
        <f aca="false">IF(AND(K18=1,K38=1),K20*K47,"SLO 不可達")</f>
        <v>43046554763.4586</v>
      </c>
      <c r="L22" s="67" t="n">
        <f aca="false">IF(AND(L18=1,L38=1),L20*L47,"SLO 不可達")</f>
        <v>64211994753.8619</v>
      </c>
      <c r="M22" s="67" t="n">
        <f aca="false">IF(AND(M18=1,M38=1),M20*M47,"SLO 不可達")</f>
        <v>64211994753.8619</v>
      </c>
      <c r="N22" s="67" t="n">
        <f aca="false">IF(AND(N18=1,N38=1),N20*N47,"SLO 不可達")</f>
        <v>64211994753.8619</v>
      </c>
      <c r="O22" s="67" t="n">
        <f aca="false">IF(AND(O18=1,O38=1),O20*O47,"SLO 不可達")</f>
        <v>87170252462.1423</v>
      </c>
      <c r="P22" s="67" t="n">
        <f aca="false">IF(AND(P18=1,P38=1),P20*P47,"SLO 不可達")</f>
        <v>87170252462.1423</v>
      </c>
      <c r="Q22" s="67" t="n">
        <f aca="false">IF(AND(Q18=1,Q38=1),Q20*Q47,"SLO 不可達")</f>
        <v>87170252462.1423</v>
      </c>
    </row>
    <row r="23" customFormat="false" ht="15" hidden="false" customHeight="false" outlineLevel="0" collapsed="false">
      <c r="A23" s="6" t="s">
        <v>1755</v>
      </c>
      <c r="B23" s="61" t="s">
        <v>91</v>
      </c>
      <c r="C23" s="114" t="n">
        <f aca="false">IF(AND(C18=1,C38=1),(C21+C22)/(INDEX(IF_TokGW_Luna,1,C$7)*IF_Util),"SLO 不可達")</f>
        <v>0.181811222633454</v>
      </c>
      <c r="D23" s="114" t="n">
        <f aca="false">IF(AND(D18=1,D38=1),(D21+D22)/(INDEX(IF_TokGW_Luna,1,D$7)*IF_Util),"SLO 不可達")</f>
        <v>0.181811222633454</v>
      </c>
      <c r="E23" s="114" t="n">
        <f aca="false">IF(AND(E18=1,E38=1),(E21+E22)/(INDEX(IF_TokGW_Luna,1,E$7)*IF_Util),"SLO 不可達")</f>
        <v>0.181811222633454</v>
      </c>
      <c r="F23" s="114" t="n">
        <f aca="false">IF(AND(F18=1,F38=1),(F21+F22)/(INDEX(IF_TokGW_Luna,1,F$7)*IF_Util),"SLO 不可達")</f>
        <v>0.154948330589445</v>
      </c>
      <c r="G23" s="114" t="n">
        <f aca="false">IF(AND(G18=1,G38=1),(G21+G22)/(INDEX(IF_TokGW_Luna,1,G$7)*IF_Util),"SLO 不可達")</f>
        <v>0.154948330589445</v>
      </c>
      <c r="H23" s="114" t="n">
        <f aca="false">IF(AND(H18=1,H38=1),(H21+H22)/(INDEX(IF_TokGW_Luna,1,H$7)*IF_Util),"SLO 不可達")</f>
        <v>0.154948330589445</v>
      </c>
      <c r="I23" s="114" t="n">
        <f aca="false">IF(AND(I18=1,I38=1),(I21+I22)/(INDEX(IF_TokGW_Luna,1,I$7)*IF_Util),"SLO 不可達")</f>
        <v>0.152945824232698</v>
      </c>
      <c r="J23" s="114" t="n">
        <f aca="false">IF(AND(J18=1,J38=1),(J21+J22)/(INDEX(IF_TokGW_Luna,1,J$7)*IF_Util),"SLO 不可達")</f>
        <v>0.152945824232698</v>
      </c>
      <c r="K23" s="114" t="n">
        <f aca="false">IF(AND(K18=1,K38=1),(K21+K22)/(INDEX(IF_TokGW_Luna,1,K$7)*IF_Util),"SLO 不可達")</f>
        <v>0.152945824232698</v>
      </c>
      <c r="L23" s="114" t="n">
        <f aca="false">IF(AND(L18=1,L38=1),(L21+L22)/(INDEX(IF_TokGW_Luna,1,L$7)*IF_Util),"SLO 不可達")</f>
        <v>0.159925495692349</v>
      </c>
      <c r="M23" s="114" t="n">
        <f aca="false">IF(AND(M18=1,M38=1),(M21+M22)/(INDEX(IF_TokGW_Luna,1,M$7)*IF_Util),"SLO 不可達")</f>
        <v>0.159925495692349</v>
      </c>
      <c r="N23" s="114" t="n">
        <f aca="false">IF(AND(N18=1,N38=1),(N21+N22)/(INDEX(IF_TokGW_Luna,1,N$7)*IF_Util),"SLO 不可達")</f>
        <v>0.159925495692349</v>
      </c>
      <c r="O23" s="114" t="n">
        <f aca="false">IF(AND(O18=1,O38=1),(O21+O22)/(INDEX(IF_TokGW_Luna,1,O$7)*IF_Util),"SLO 不可達")</f>
        <v>0.161551793857427</v>
      </c>
      <c r="P23" s="114" t="n">
        <f aca="false">IF(AND(P18=1,P38=1),(P21+P22)/(INDEX(IF_TokGW_Luna,1,P$7)*IF_Util),"SLO 不可達")</f>
        <v>0.161551793857427</v>
      </c>
      <c r="Q23" s="114" t="n">
        <f aca="false">IF(AND(Q18=1,Q38=1),(Q21+Q22)/(INDEX(IF_TokGW_Luna,1,Q$7)*IF_Util),"SLO 不可達")</f>
        <v>0.161551793857427</v>
      </c>
    </row>
    <row r="24" customFormat="false" ht="15" hidden="false" customHeight="false" outlineLevel="0" collapsed="false">
      <c r="A24" s="6" t="s">
        <v>1756</v>
      </c>
      <c r="B24" s="61" t="s">
        <v>799</v>
      </c>
      <c r="C24" s="67" t="n">
        <f aca="false">IF(AND(C18=1,C39=1),C19*C45,"SLO 不可達")</f>
        <v>1963643572.11729</v>
      </c>
      <c r="D24" s="67" t="n">
        <f aca="false">IF(AND(D18=1,D39=1),D19*D45,"SLO 不可達")</f>
        <v>1963643572.11729</v>
      </c>
      <c r="E24" s="67" t="n">
        <f aca="false">IF(AND(E18=1,E39=1),E19*E45,"SLO 不可達")</f>
        <v>1963643572.11729</v>
      </c>
      <c r="F24" s="67" t="n">
        <f aca="false">IF(AND(F18=1,F39=1),F19*F45,"SLO 不可達")</f>
        <v>4630331169.1609</v>
      </c>
      <c r="G24" s="67" t="n">
        <f aca="false">IF(AND(G18=1,G39=1),G19*G45,"SLO 不可達")</f>
        <v>4630331169.1609</v>
      </c>
      <c r="H24" s="67" t="n">
        <f aca="false">IF(AND(H18=1,H39=1),H19*H45,"SLO 不可達")</f>
        <v>4630331169.1609</v>
      </c>
      <c r="I24" s="67" t="n">
        <f aca="false">IF(AND(I18=1,I39=1),I19*I45,"SLO 不可達")</f>
        <v>6028205957.56624</v>
      </c>
      <c r="J24" s="67" t="n">
        <f aca="false">IF(AND(J18=1,J39=1),J19*J45,"SLO 不可達")</f>
        <v>6028205957.56624</v>
      </c>
      <c r="K24" s="67" t="n">
        <f aca="false">IF(AND(K18=1,K39=1),K19*K45,"SLO 不可達")</f>
        <v>6028205957.56624</v>
      </c>
      <c r="L24" s="67" t="n">
        <f aca="false">IF(AND(L18=1,L39=1),L19*L45,"SLO 不可達")</f>
        <v>11182709868.3772</v>
      </c>
      <c r="M24" s="67" t="n">
        <f aca="false">IF(AND(M18=1,M39=1),M19*M45,"SLO 不可達")</f>
        <v>11182709868.3772</v>
      </c>
      <c r="N24" s="67" t="n">
        <f aca="false">IF(AND(N18=1,N39=1),N19*N45,"SLO 不可達")</f>
        <v>11182709868.3772</v>
      </c>
      <c r="O24" s="67" t="n">
        <f aca="false">IF(AND(O18=1,O39=1),O19*O45,"SLO 不可達")</f>
        <v>15819767571.4152</v>
      </c>
      <c r="P24" s="67" t="n">
        <f aca="false">IF(AND(P18=1,P39=1),P19*P45,"SLO 不可達")</f>
        <v>15819767571.4152</v>
      </c>
      <c r="Q24" s="67" t="n">
        <f aca="false">IF(AND(Q18=1,Q39=1),Q19*Q45,"SLO 不可達")</f>
        <v>15819767571.4152</v>
      </c>
    </row>
    <row r="25" customFormat="false" ht="15" hidden="false" customHeight="false" outlineLevel="0" collapsed="false">
      <c r="A25" s="6" t="s">
        <v>1757</v>
      </c>
      <c r="B25" s="61" t="s">
        <v>799</v>
      </c>
      <c r="C25" s="67" t="n">
        <f aca="false">IF(AND(C18=1,C39=1),C20*C48,"SLO 不可達")</f>
        <v>582479380.469183</v>
      </c>
      <c r="D25" s="67" t="n">
        <f aca="false">IF(AND(D18=1,D39=1),D20*D48,"SLO 不可達")</f>
        <v>582479380.469183</v>
      </c>
      <c r="E25" s="67" t="n">
        <f aca="false">IF(AND(E18=1,E39=1),E20*E48,"SLO 不可達")</f>
        <v>582479380.469183</v>
      </c>
      <c r="F25" s="67" t="n">
        <f aca="false">IF(AND(F18=1,F39=1),F20*F48,"SLO 不可達")</f>
        <v>3285273234.62495</v>
      </c>
      <c r="G25" s="67" t="n">
        <f aca="false">IF(AND(G18=1,G39=1),G20*G48,"SLO 不可達")</f>
        <v>3285273234.62495</v>
      </c>
      <c r="H25" s="67" t="n">
        <f aca="false">IF(AND(H18=1,H39=1),H20*H48,"SLO 不可達")</f>
        <v>3285273234.62495</v>
      </c>
      <c r="I25" s="67" t="n">
        <f aca="false">IF(AND(I18=1,I39=1),I20*I48,"SLO 不可達")</f>
        <v>4782950529.27318</v>
      </c>
      <c r="J25" s="67" t="n">
        <f aca="false">IF(AND(J18=1,J39=1),J20*J48,"SLO 不可達")</f>
        <v>4782950529.27318</v>
      </c>
      <c r="K25" s="67" t="n">
        <f aca="false">IF(AND(K18=1,K39=1),K20*K48,"SLO 不可達")</f>
        <v>4782950529.27318</v>
      </c>
      <c r="L25" s="67" t="n">
        <f aca="false">IF(AND(L18=1,L39=1),L20*L48,"SLO 不可達")</f>
        <v>7134666083.76243</v>
      </c>
      <c r="M25" s="67" t="n">
        <f aca="false">IF(AND(M18=1,M39=1),M20*M48,"SLO 不可達")</f>
        <v>7134666083.76243</v>
      </c>
      <c r="N25" s="67" t="n">
        <f aca="false">IF(AND(N18=1,N39=1),N20*N48,"SLO 不可達")</f>
        <v>7134666083.76243</v>
      </c>
      <c r="O25" s="67" t="n">
        <f aca="false">IF(AND(O18=1,O39=1),O20*O48,"SLO 不可達")</f>
        <v>9685583606.9047</v>
      </c>
      <c r="P25" s="67" t="n">
        <f aca="false">IF(AND(P18=1,P39=1),P20*P48,"SLO 不可達")</f>
        <v>9685583606.9047</v>
      </c>
      <c r="Q25" s="67" t="n">
        <f aca="false">IF(AND(Q18=1,Q39=1),Q20*Q48,"SLO 不可達")</f>
        <v>9685583606.9047</v>
      </c>
    </row>
    <row r="26" customFormat="false" ht="15" hidden="false" customHeight="false" outlineLevel="0" collapsed="false">
      <c r="A26" s="6" t="s">
        <v>1758</v>
      </c>
      <c r="B26" s="61" t="s">
        <v>91</v>
      </c>
      <c r="C26" s="114" t="n">
        <f aca="false">IF(AND(C18=1,C39=1),(C24+C25)/(INDEX(IF_TokGW_Sol,1,C$7)*IF_Util),"SLO 不可達")</f>
        <v>0.228188777366546</v>
      </c>
      <c r="D26" s="114" t="n">
        <f aca="false">IF(AND(D18=1,D39=1),(D24+D25)/(INDEX(IF_TokGW_Sol,1,D$7)*IF_Util),"SLO 不可達")</f>
        <v>0.228188777366546</v>
      </c>
      <c r="E26" s="114" t="n">
        <f aca="false">IF(AND(E18=1,E39=1),(E24+E25)/(INDEX(IF_TokGW_Sol,1,E$7)*IF_Util),"SLO 不可達")</f>
        <v>0.228188777366546</v>
      </c>
      <c r="F26" s="114" t="n">
        <f aca="false">IF(AND(F18=1,F39=1),(F24+F25)/(INDEX(IF_TokGW_Sol,1,F$7)*IF_Util),"SLO 不可達")</f>
        <v>0.126699862563692</v>
      </c>
      <c r="G26" s="114" t="n">
        <f aca="false">IF(AND(G18=1,G39=1),(G24+G25)/(INDEX(IF_TokGW_Sol,1,G$7)*IF_Util),"SLO 不可達")</f>
        <v>0.126699862563692</v>
      </c>
      <c r="H26" s="114" t="n">
        <f aca="false">IF(AND(H18=1,H39=1),(H24+H25)/(INDEX(IF_TokGW_Sol,1,H$7)*IF_Util),"SLO 不可達")</f>
        <v>0.126699862563692</v>
      </c>
      <c r="I26" s="114" t="n">
        <f aca="false">IF(AND(I18=1,I39=1),(I24+I25)/(INDEX(IF_TokGW_Sol,1,I$7)*IF_Util),"SLO 不可達")</f>
        <v>0.118861121177431</v>
      </c>
      <c r="J26" s="114" t="n">
        <f aca="false">IF(AND(J18=1,J39=1),(J24+J25)/(INDEX(IF_TokGW_Sol,1,J$7)*IF_Util),"SLO 不可達")</f>
        <v>0.118861121177431</v>
      </c>
      <c r="K26" s="114" t="n">
        <f aca="false">IF(AND(K18=1,K39=1),(K24+K25)/(INDEX(IF_TokGW_Sol,1,K$7)*IF_Util),"SLO 不可達")</f>
        <v>0.118861121177431</v>
      </c>
      <c r="L26" s="114" t="n">
        <f aca="false">IF(AND(L18=1,L39=1),(L24+L25)/(INDEX(IF_TokGW_Sol,1,L$7)*IF_Util),"SLO 不可達")</f>
        <v>0.128658191722267</v>
      </c>
      <c r="M26" s="114" t="n">
        <f aca="false">IF(AND(M18=1,M39=1),(M24+M25)/(INDEX(IF_TokGW_Sol,1,M$7)*IF_Util),"SLO 不可達")</f>
        <v>0.128658191722267</v>
      </c>
      <c r="N26" s="114" t="n">
        <f aca="false">IF(AND(N18=1,N39=1),(N24+N25)/(INDEX(IF_TokGW_Sol,1,N$7)*IF_Util),"SLO 不可達")</f>
        <v>0.128658191722267</v>
      </c>
      <c r="O26" s="114" t="n">
        <f aca="false">IF(AND(O18=1,O39=1),(O24+O25)/(INDEX(IF_TokGW_Sol,1,O$7)*IF_Util),"SLO 不可達")</f>
        <v>0.130321232574257</v>
      </c>
      <c r="P26" s="114" t="n">
        <f aca="false">IF(AND(P18=1,P39=1),(P24+P25)/(INDEX(IF_TokGW_Sol,1,P$7)*IF_Util),"SLO 不可達")</f>
        <v>0.130321232574257</v>
      </c>
      <c r="Q26" s="114" t="n">
        <f aca="false">IF(AND(Q18=1,Q39=1),(Q24+Q25)/(INDEX(IF_TokGW_Sol,1,Q$7)*IF_Util),"SLO 不可達")</f>
        <v>0.130321232574257</v>
      </c>
    </row>
    <row r="27" customFormat="false" ht="15" hidden="false" customHeight="false" outlineLevel="0" collapsed="false">
      <c r="A27" s="6" t="s">
        <v>1759</v>
      </c>
      <c r="B27" s="61" t="s">
        <v>799</v>
      </c>
      <c r="C27" s="67" t="str">
        <f aca="false">IF(AND(C18=1,C40=1),C19*C46,"SLO 不可達")</f>
        <v>SLO 不可達</v>
      </c>
      <c r="D27" s="67" t="str">
        <f aca="false">IF(AND(D18=1,D40=1),D19*D46,"SLO 不可達")</f>
        <v>SLO 不可達</v>
      </c>
      <c r="E27" s="67" t="str">
        <f aca="false">IF(AND(E18=1,E40=1),E19*E46,"SLO 不可達")</f>
        <v>SLO 不可達</v>
      </c>
      <c r="F27" s="67" t="n">
        <f aca="false">IF(AND(F18=1,F40=1),F19*F46,"SLO 不可達")</f>
        <v>1543443723.05363</v>
      </c>
      <c r="G27" s="67" t="n">
        <f aca="false">IF(AND(G18=1,G40=1),G19*G46,"SLO 不可達")</f>
        <v>1543443723.05363</v>
      </c>
      <c r="H27" s="67" t="n">
        <f aca="false">IF(AND(H18=1,H40=1),H19*H46,"SLO 不可達")</f>
        <v>1543443723.05363</v>
      </c>
      <c r="I27" s="67" t="n">
        <f aca="false">IF(AND(I18=1,I40=1),I19*I46,"SLO 不可達")</f>
        <v>2009401985.85541</v>
      </c>
      <c r="J27" s="67" t="n">
        <f aca="false">IF(AND(J18=1,J40=1),J19*J46,"SLO 不可達")</f>
        <v>2009401985.85541</v>
      </c>
      <c r="K27" s="67" t="n">
        <f aca="false">IF(AND(K18=1,K40=1),K19*K46,"SLO 不可達")</f>
        <v>2009401985.85541</v>
      </c>
      <c r="L27" s="67" t="n">
        <f aca="false">IF(AND(L18=1,L40=1),L19*L46,"SLO 不可達")</f>
        <v>3727569956.12573</v>
      </c>
      <c r="M27" s="67" t="n">
        <f aca="false">IF(AND(M18=1,M40=1),M19*M46,"SLO 不可達")</f>
        <v>3727569956.12573</v>
      </c>
      <c r="N27" s="67" t="n">
        <f aca="false">IF(AND(N18=1,N40=1),N19*N46,"SLO 不可達")</f>
        <v>3727569956.12573</v>
      </c>
      <c r="O27" s="67" t="n">
        <f aca="false">IF(AND(O18=1,O40=1),O19*O46,"SLO 不可達")</f>
        <v>5273255857.1384</v>
      </c>
      <c r="P27" s="67" t="n">
        <f aca="false">IF(AND(P18=1,P40=1),P19*P46,"SLO 不可達")</f>
        <v>5273255857.1384</v>
      </c>
      <c r="Q27" s="67" t="n">
        <f aca="false">IF(AND(Q18=1,Q40=1),Q19*Q46,"SLO 不可達")</f>
        <v>5273255857.1384</v>
      </c>
    </row>
    <row r="28" customFormat="false" ht="15" hidden="false" customHeight="false" outlineLevel="0" collapsed="false">
      <c r="A28" s="6" t="s">
        <v>1760</v>
      </c>
      <c r="B28" s="61" t="s">
        <v>799</v>
      </c>
      <c r="C28" s="67" t="str">
        <f aca="false">IF(AND(C18=1,C40=1),C20*C49,"SLO 不可達")</f>
        <v>SLO 不可達</v>
      </c>
      <c r="D28" s="67" t="str">
        <f aca="false">IF(AND(D18=1,D40=1),D20*D49,"SLO 不可達")</f>
        <v>SLO 不可達</v>
      </c>
      <c r="E28" s="67" t="str">
        <f aca="false">IF(AND(E18=1,E40=1),E20*E49,"SLO 不可達")</f>
        <v>SLO 不可達</v>
      </c>
      <c r="F28" s="67" t="n">
        <f aca="false">IF(AND(F18=1,F40=1),F20*F49,"SLO 不可達")</f>
        <v>0</v>
      </c>
      <c r="G28" s="67" t="n">
        <f aca="false">IF(AND(G18=1,G40=1),G20*G49,"SLO 不可達")</f>
        <v>0</v>
      </c>
      <c r="H28" s="67" t="n">
        <f aca="false">IF(AND(H18=1,H40=1),H20*H49,"SLO 不可達")</f>
        <v>0</v>
      </c>
      <c r="I28" s="67" t="n">
        <f aca="false">IF(AND(I18=1,I40=1),I20*I49,"SLO 不可達")</f>
        <v>0</v>
      </c>
      <c r="J28" s="67" t="n">
        <f aca="false">IF(AND(J18=1,J40=1),J20*J49,"SLO 不可達")</f>
        <v>0</v>
      </c>
      <c r="K28" s="67" t="n">
        <f aca="false">IF(AND(K18=1,K40=1),K20*K49,"SLO 不可達")</f>
        <v>0</v>
      </c>
      <c r="L28" s="67" t="n">
        <f aca="false">IF(AND(L18=1,L40=1),L20*L49,"SLO 不可達")</f>
        <v>0</v>
      </c>
      <c r="M28" s="67" t="n">
        <f aca="false">IF(AND(M18=1,M40=1),M20*M49,"SLO 不可達")</f>
        <v>0</v>
      </c>
      <c r="N28" s="67" t="n">
        <f aca="false">IF(AND(N18=1,N40=1),N20*N49,"SLO 不可達")</f>
        <v>0</v>
      </c>
      <c r="O28" s="67" t="n">
        <f aca="false">IF(AND(O18=1,O40=1),O20*O49,"SLO 不可達")</f>
        <v>0</v>
      </c>
      <c r="P28" s="67" t="n">
        <f aca="false">IF(AND(P18=1,P40=1),P20*P49,"SLO 不可達")</f>
        <v>0</v>
      </c>
      <c r="Q28" s="67" t="n">
        <f aca="false">IF(AND(Q18=1,Q40=1),Q20*Q49,"SLO 不可達")</f>
        <v>0</v>
      </c>
    </row>
    <row r="29" customFormat="false" ht="15" hidden="false" customHeight="false" outlineLevel="0" collapsed="false">
      <c r="A29" s="6" t="s">
        <v>1761</v>
      </c>
      <c r="B29" s="61" t="s">
        <v>91</v>
      </c>
      <c r="C29" s="114" t="str">
        <f aca="false">IF(AND(C18=1,C40=1),(C27+C28)/(INDEX(IF_TokGW_Astra,1,C$7)*IF_Util),"SLO 不可達")</f>
        <v>SLO 不可達</v>
      </c>
      <c r="D29" s="114" t="str">
        <f aca="false">IF(AND(D18=1,D40=1),(D27+D28)/(INDEX(IF_TokGW_Astra,1,D$7)*IF_Util),"SLO 不可達")</f>
        <v>SLO 不可達</v>
      </c>
      <c r="E29" s="114" t="str">
        <f aca="false">IF(AND(E18=1,E40=1),(E27+E28)/(INDEX(IF_TokGW_Astra,1,E$7)*IF_Util),"SLO 不可達")</f>
        <v>SLO 不可達</v>
      </c>
      <c r="F29" s="114" t="n">
        <f aca="false">IF(AND(F18=1,F40=1),(F27+F28)/(INDEX(IF_TokGW_Astra,1,F$7)*IF_Util),"SLO 不可達")</f>
        <v>0.128351806846863</v>
      </c>
      <c r="G29" s="114" t="n">
        <f aca="false">IF(AND(G18=1,G40=1),(G27+G28)/(INDEX(IF_TokGW_Astra,1,G$7)*IF_Util),"SLO 不可達")</f>
        <v>0.128351806846863</v>
      </c>
      <c r="H29" s="114" t="n">
        <f aca="false">IF(AND(H18=1,H40=1),(H27+H28)/(INDEX(IF_TokGW_Astra,1,H$7)*IF_Util),"SLO 不可達")</f>
        <v>0.128351806846863</v>
      </c>
      <c r="I29" s="114" t="n">
        <f aca="false">IF(AND(I18=1,I40=1),(I27+I28)/(INDEX(IF_TokGW_Astra,1,I$7)*IF_Util),"SLO 不可達")</f>
        <v>0.138193054589871</v>
      </c>
      <c r="J29" s="114" t="n">
        <f aca="false">IF(AND(J18=1,J40=1),(J27+J28)/(INDEX(IF_TokGW_Astra,1,J$7)*IF_Util),"SLO 不可達")</f>
        <v>0.138193054589871</v>
      </c>
      <c r="K29" s="114" t="n">
        <f aca="false">IF(AND(K18=1,K40=1),(K27+K28)/(INDEX(IF_TokGW_Astra,1,K$7)*IF_Util),"SLO 不可達")</f>
        <v>0.138193054589871</v>
      </c>
      <c r="L29" s="114" t="n">
        <f aca="false">IF(AND(L18=1,L40=1),(L27+L28)/(INDEX(IF_TokGW_Astra,1,L$7)*IF_Util),"SLO 不可達")</f>
        <v>0.121416312585384</v>
      </c>
      <c r="M29" s="114" t="n">
        <f aca="false">IF(AND(M18=1,M40=1),(M27+M28)/(INDEX(IF_TokGW_Astra,1,M$7)*IF_Util),"SLO 不可達")</f>
        <v>0.121416312585384</v>
      </c>
      <c r="N29" s="114" t="n">
        <f aca="false">IF(AND(N18=1,N40=1),(N27+N28)/(INDEX(IF_TokGW_Astra,1,N$7)*IF_Util),"SLO 不可達")</f>
        <v>0.121416312585384</v>
      </c>
      <c r="O29" s="114" t="n">
        <f aca="false">IF(AND(O18=1,O40=1),(O27+O28)/(INDEX(IF_TokGW_Astra,1,O$7)*IF_Util),"SLO 不可達")</f>
        <v>0.118126973568316</v>
      </c>
      <c r="P29" s="114" t="n">
        <f aca="false">IF(AND(P18=1,P40=1),(P27+P28)/(INDEX(IF_TokGW_Astra,1,P$7)*IF_Util),"SLO 不可達")</f>
        <v>0.118126973568316</v>
      </c>
      <c r="Q29" s="114" t="n">
        <f aca="false">IF(AND(Q18=1,Q40=1),(Q27+Q28)/(INDEX(IF_TokGW_Astra,1,Q$7)*IF_Util),"SLO 不可達")</f>
        <v>0.118126973568316</v>
      </c>
    </row>
    <row r="30" customFormat="false" ht="15" hidden="false" customHeight="false" outlineLevel="0" collapsed="false">
      <c r="A30" s="5" t="s">
        <v>1762</v>
      </c>
      <c r="B30" s="61" t="s">
        <v>91</v>
      </c>
      <c r="C30" s="155" t="n">
        <f aca="false">IF(C18=1,SUM(C23,C26,C29)-C10,"SLO 不可達")</f>
        <v>0</v>
      </c>
      <c r="D30" s="155" t="n">
        <f aca="false">IF(D18=1,SUM(D23,D26,D29)-D10,"SLO 不可達")</f>
        <v>0</v>
      </c>
      <c r="E30" s="155" t="n">
        <f aca="false">IF(E18=1,SUM(E23,E26,E29)-E10,"SLO 不可達")</f>
        <v>0</v>
      </c>
      <c r="F30" s="155" t="n">
        <f aca="false">IF(F18=1,SUM(F23,F26,F29)-F10,"SLO 不可達")</f>
        <v>0</v>
      </c>
      <c r="G30" s="155" t="n">
        <f aca="false">IF(G18=1,SUM(G23,G26,G29)-G10,"SLO 不可達")</f>
        <v>0</v>
      </c>
      <c r="H30" s="155" t="n">
        <f aca="false">IF(H18=1,SUM(H23,H26,H29)-H10,"SLO 不可達")</f>
        <v>0</v>
      </c>
      <c r="I30" s="155" t="n">
        <f aca="false">IF(I18=1,SUM(I23,I26,I29)-I10,"SLO 不可達")</f>
        <v>0</v>
      </c>
      <c r="J30" s="155" t="n">
        <f aca="false">IF(J18=1,SUM(J23,J26,J29)-J10,"SLO 不可達")</f>
        <v>0</v>
      </c>
      <c r="K30" s="155" t="n">
        <f aca="false">IF(K18=1,SUM(K23,K26,K29)-K10,"SLO 不可達")</f>
        <v>0</v>
      </c>
      <c r="L30" s="155" t="n">
        <f aca="false">IF(L18=1,SUM(L23,L26,L29)-L10,"SLO 不可達")</f>
        <v>0</v>
      </c>
      <c r="M30" s="155" t="n">
        <f aca="false">IF(M18=1,SUM(M23,M26,M29)-M10,"SLO 不可達")</f>
        <v>0</v>
      </c>
      <c r="N30" s="155" t="n">
        <f aca="false">IF(N18=1,SUM(N23,N26,N29)-N10,"SLO 不可達")</f>
        <v>0</v>
      </c>
      <c r="O30" s="155" t="n">
        <f aca="false">IF(O18=1,SUM(O23,O26,O29)-O10,"SLO 不可達")</f>
        <v>0</v>
      </c>
      <c r="P30" s="155" t="n">
        <f aca="false">IF(P18=1,SUM(P23,P26,P29)-P10,"SLO 不可達")</f>
        <v>0</v>
      </c>
      <c r="Q30" s="155" t="n">
        <f aca="false">IF(Q18=1,SUM(Q23,Q26,Q29)-Q10,"SLO 不可達")</f>
        <v>0</v>
      </c>
    </row>
    <row r="32" customFormat="false" ht="15" hidden="false" customHeight="false" outlineLevel="0" collapsed="false">
      <c r="A32" s="75" t="s">
        <v>1763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</row>
    <row r="33" customFormat="false" ht="15" hidden="false" customHeight="false" outlineLevel="0" collapsed="false">
      <c r="A33" s="5" t="s">
        <v>1764</v>
      </c>
      <c r="B33" s="61" t="s">
        <v>99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0.0853804375916351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0.0853804375916351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0.0853804375916351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</row>
    <row r="34" customFormat="false" ht="29.85" hidden="false" customHeight="false" outlineLevel="0" collapsed="false">
      <c r="A34" s="5" t="s">
        <v>1765</v>
      </c>
      <c r="B34" s="60" t="s">
        <v>329</v>
      </c>
      <c r="C34" s="88" t="n">
        <f aca="false">IF(ISNUMBER(C33),C13/C33,C33)</f>
        <v>3.07484102812514</v>
      </c>
      <c r="D34" s="88" t="n">
        <f aca="false">IF(ISNUMBER(D33),D13/D33,D33)</f>
        <v>3.07484102812514</v>
      </c>
      <c r="E34" s="88" t="n">
        <f aca="false">IF(ISNUMBER(E33),E13/E33,E33)</f>
        <v>3.07484102812514</v>
      </c>
      <c r="F34" s="88" t="n">
        <f aca="false">IF(ISNUMBER(F33),F13/F33,F33)</f>
        <v>6.91024802217462</v>
      </c>
      <c r="G34" s="88" t="n">
        <f aca="false">IF(ISNUMBER(G33),G13/G33,G33)</f>
        <v>6.91024802217462</v>
      </c>
      <c r="H34" s="88" t="n">
        <f aca="false">IF(ISNUMBER(H33),H13/H33,H33)</f>
        <v>6.91024802217462</v>
      </c>
      <c r="I34" s="88" t="n">
        <f aca="false">IF(ISNUMBER(I33),I13/I33,I33)</f>
        <v>7.45489057086418</v>
      </c>
      <c r="J34" s="88" t="n">
        <f aca="false">IF(ISNUMBER(J33),J13/J33,J33)</f>
        <v>7.45489057086418</v>
      </c>
      <c r="K34" s="88" t="n">
        <f aca="false">IF(ISNUMBER(K33),K13/K33,K33)</f>
        <v>7.45489057086418</v>
      </c>
      <c r="L34" s="88" t="n">
        <f aca="false">IF(ISNUMBER(L33),L13/L33,L33)</f>
        <v>12.1291102743968</v>
      </c>
      <c r="M34" s="88" t="n">
        <f aca="false">IF(ISNUMBER(M33),M13/M33,M33)</f>
        <v>12.1291102743968</v>
      </c>
      <c r="N34" s="88" t="n">
        <f aca="false">IF(ISNUMBER(N33),N13/N33,N33)</f>
        <v>12.1291102743968</v>
      </c>
      <c r="O34" s="88" t="n">
        <f aca="false">IF(ISNUMBER(O33),O13/O33,O33)</f>
        <v>17.8840183480344</v>
      </c>
      <c r="P34" s="88" t="n">
        <f aca="false">IF(ISNUMBER(P33),P13/P33,P33)</f>
        <v>17.8840183480344</v>
      </c>
      <c r="Q34" s="88" t="n">
        <f aca="false">IF(ISNUMBER(Q33),Q13/Q33,Q33)</f>
        <v>17.8840183480344</v>
      </c>
    </row>
    <row r="35" customFormat="false" ht="15" hidden="false" customHeight="false" outlineLevel="0" collapsed="false">
      <c r="A35" s="73" t="s">
        <v>1766</v>
      </c>
    </row>
    <row r="37" customFormat="false" ht="15" hidden="false" customHeight="false" outlineLevel="0" collapsed="false">
      <c r="A37" s="75" t="s">
        <v>1767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customFormat="false" ht="15" hidden="false" customHeight="false" outlineLevel="0" collapsed="false">
      <c r="A38" s="6" t="s">
        <v>1768</v>
      </c>
      <c r="B38" s="60" t="s">
        <v>1750</v>
      </c>
      <c r="C38" s="111" t="n">
        <f aca="false">IF(ISNUMBER(INDEX(IF_TokGW_Luna,1,C$7)),IF(INDEX(IF_TokGW_Luna,1,C$7)&gt;0,1,0),0)</f>
        <v>1</v>
      </c>
      <c r="D38" s="111" t="n">
        <f aca="false">IF(ISNUMBER(INDEX(IF_TokGW_Luna,1,D$7)),IF(INDEX(IF_TokGW_Luna,1,D$7)&gt;0,1,0),0)</f>
        <v>1</v>
      </c>
      <c r="E38" s="111" t="n">
        <f aca="false">IF(ISNUMBER(INDEX(IF_TokGW_Luna,1,E$7)),IF(INDEX(IF_TokGW_Luna,1,E$7)&gt;0,1,0),0)</f>
        <v>1</v>
      </c>
      <c r="F38" s="111" t="n">
        <f aca="false">IF(ISNUMBER(INDEX(IF_TokGW_Luna,1,F$7)),IF(INDEX(IF_TokGW_Luna,1,F$7)&gt;0,1,0),0)</f>
        <v>1</v>
      </c>
      <c r="G38" s="111" t="n">
        <f aca="false">IF(ISNUMBER(INDEX(IF_TokGW_Luna,1,G$7)),IF(INDEX(IF_TokGW_Luna,1,G$7)&gt;0,1,0),0)</f>
        <v>1</v>
      </c>
      <c r="H38" s="111" t="n">
        <f aca="false">IF(ISNUMBER(INDEX(IF_TokGW_Luna,1,H$7)),IF(INDEX(IF_TokGW_Luna,1,H$7)&gt;0,1,0),0)</f>
        <v>1</v>
      </c>
      <c r="I38" s="111" t="n">
        <f aca="false">IF(ISNUMBER(INDEX(IF_TokGW_Luna,1,I$7)),IF(INDEX(IF_TokGW_Luna,1,I$7)&gt;0,1,0),0)</f>
        <v>1</v>
      </c>
      <c r="J38" s="111" t="n">
        <f aca="false">IF(ISNUMBER(INDEX(IF_TokGW_Luna,1,J$7)),IF(INDEX(IF_TokGW_Luna,1,J$7)&gt;0,1,0),0)</f>
        <v>1</v>
      </c>
      <c r="K38" s="111" t="n">
        <f aca="false">IF(ISNUMBER(INDEX(IF_TokGW_Luna,1,K$7)),IF(INDEX(IF_TokGW_Luna,1,K$7)&gt;0,1,0),0)</f>
        <v>1</v>
      </c>
      <c r="L38" s="111" t="n">
        <f aca="false">IF(ISNUMBER(INDEX(IF_TokGW_Luna,1,L$7)),IF(INDEX(IF_TokGW_Luna,1,L$7)&gt;0,1,0),0)</f>
        <v>1</v>
      </c>
      <c r="M38" s="111" t="n">
        <f aca="false">IF(ISNUMBER(INDEX(IF_TokGW_Luna,1,M$7)),IF(INDEX(IF_TokGW_Luna,1,M$7)&gt;0,1,0),0)</f>
        <v>1</v>
      </c>
      <c r="N38" s="111" t="n">
        <f aca="false">IF(ISNUMBER(INDEX(IF_TokGW_Luna,1,N$7)),IF(INDEX(IF_TokGW_Luna,1,N$7)&gt;0,1,0),0)</f>
        <v>1</v>
      </c>
      <c r="O38" s="111" t="n">
        <f aca="false">IF(ISNUMBER(INDEX(IF_TokGW_Luna,1,O$7)),IF(INDEX(IF_TokGW_Luna,1,O$7)&gt;0,1,0),0)</f>
        <v>1</v>
      </c>
      <c r="P38" s="111" t="n">
        <f aca="false">IF(ISNUMBER(INDEX(IF_TokGW_Luna,1,P$7)),IF(INDEX(IF_TokGW_Luna,1,P$7)&gt;0,1,0),0)</f>
        <v>1</v>
      </c>
      <c r="Q38" s="111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1769</v>
      </c>
      <c r="B39" s="60" t="s">
        <v>1750</v>
      </c>
      <c r="C39" s="111" t="n">
        <f aca="false">IF(ISNUMBER(INDEX(IF_TokGW_Sol,1,C$7)),IF(INDEX(IF_TokGW_Sol,1,C$7)&gt;0,1,0),0)</f>
        <v>1</v>
      </c>
      <c r="D39" s="111" t="n">
        <f aca="false">IF(ISNUMBER(INDEX(IF_TokGW_Sol,1,D$7)),IF(INDEX(IF_TokGW_Sol,1,D$7)&gt;0,1,0),0)</f>
        <v>1</v>
      </c>
      <c r="E39" s="111" t="n">
        <f aca="false">IF(ISNUMBER(INDEX(IF_TokGW_Sol,1,E$7)),IF(INDEX(IF_TokGW_Sol,1,E$7)&gt;0,1,0),0)</f>
        <v>1</v>
      </c>
      <c r="F39" s="111" t="n">
        <f aca="false">IF(ISNUMBER(INDEX(IF_TokGW_Sol,1,F$7)),IF(INDEX(IF_TokGW_Sol,1,F$7)&gt;0,1,0),0)</f>
        <v>1</v>
      </c>
      <c r="G39" s="111" t="n">
        <f aca="false">IF(ISNUMBER(INDEX(IF_TokGW_Sol,1,G$7)),IF(INDEX(IF_TokGW_Sol,1,G$7)&gt;0,1,0),0)</f>
        <v>1</v>
      </c>
      <c r="H39" s="111" t="n">
        <f aca="false">IF(ISNUMBER(INDEX(IF_TokGW_Sol,1,H$7)),IF(INDEX(IF_TokGW_Sol,1,H$7)&gt;0,1,0),0)</f>
        <v>1</v>
      </c>
      <c r="I39" s="111" t="n">
        <f aca="false">IF(ISNUMBER(INDEX(IF_TokGW_Sol,1,I$7)),IF(INDEX(IF_TokGW_Sol,1,I$7)&gt;0,1,0),0)</f>
        <v>1</v>
      </c>
      <c r="J39" s="111" t="n">
        <f aca="false">IF(ISNUMBER(INDEX(IF_TokGW_Sol,1,J$7)),IF(INDEX(IF_TokGW_Sol,1,J$7)&gt;0,1,0),0)</f>
        <v>1</v>
      </c>
      <c r="K39" s="111" t="n">
        <f aca="false">IF(ISNUMBER(INDEX(IF_TokGW_Sol,1,K$7)),IF(INDEX(IF_TokGW_Sol,1,K$7)&gt;0,1,0),0)</f>
        <v>1</v>
      </c>
      <c r="L39" s="111" t="n">
        <f aca="false">IF(ISNUMBER(INDEX(IF_TokGW_Sol,1,L$7)),IF(INDEX(IF_TokGW_Sol,1,L$7)&gt;0,1,0),0)</f>
        <v>1</v>
      </c>
      <c r="M39" s="111" t="n">
        <f aca="false">IF(ISNUMBER(INDEX(IF_TokGW_Sol,1,M$7)),IF(INDEX(IF_TokGW_Sol,1,M$7)&gt;0,1,0),0)</f>
        <v>1</v>
      </c>
      <c r="N39" s="111" t="n">
        <f aca="false">IF(ISNUMBER(INDEX(IF_TokGW_Sol,1,N$7)),IF(INDEX(IF_TokGW_Sol,1,N$7)&gt;0,1,0),0)</f>
        <v>1</v>
      </c>
      <c r="O39" s="111" t="n">
        <f aca="false">IF(ISNUMBER(INDEX(IF_TokGW_Sol,1,O$7)),IF(INDEX(IF_TokGW_Sol,1,O$7)&gt;0,1,0),0)</f>
        <v>1</v>
      </c>
      <c r="P39" s="111" t="n">
        <f aca="false">IF(ISNUMBER(INDEX(IF_TokGW_Sol,1,P$7)),IF(INDEX(IF_TokGW_Sol,1,P$7)&gt;0,1,0),0)</f>
        <v>1</v>
      </c>
      <c r="Q39" s="111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1770</v>
      </c>
      <c r="B40" s="60" t="s">
        <v>1750</v>
      </c>
      <c r="C40" s="111" t="n">
        <f aca="false">IF(ISNUMBER(INDEX(IF_TokGW_Astra,1,C$7)),IF(INDEX(IF_TokGW_Astra,1,C$7)&gt;0,1,0),0)</f>
        <v>0</v>
      </c>
      <c r="D40" s="111" t="n">
        <f aca="false">IF(ISNUMBER(INDEX(IF_TokGW_Astra,1,D$7)),IF(INDEX(IF_TokGW_Astra,1,D$7)&gt;0,1,0),0)</f>
        <v>0</v>
      </c>
      <c r="E40" s="111" t="n">
        <f aca="false">IF(ISNUMBER(INDEX(IF_TokGW_Astra,1,E$7)),IF(INDEX(IF_TokGW_Astra,1,E$7)&gt;0,1,0),0)</f>
        <v>0</v>
      </c>
      <c r="F40" s="111" t="n">
        <f aca="false">IF(ISNUMBER(INDEX(IF_TokGW_Astra,1,F$7)),IF(INDEX(IF_TokGW_Astra,1,F$7)&gt;0,1,0),0)</f>
        <v>1</v>
      </c>
      <c r="G40" s="111" t="n">
        <f aca="false">IF(ISNUMBER(INDEX(IF_TokGW_Astra,1,G$7)),IF(INDEX(IF_TokGW_Astra,1,G$7)&gt;0,1,0),0)</f>
        <v>1</v>
      </c>
      <c r="H40" s="111" t="n">
        <f aca="false">IF(ISNUMBER(INDEX(IF_TokGW_Astra,1,H$7)),IF(INDEX(IF_TokGW_Astra,1,H$7)&gt;0,1,0),0)</f>
        <v>1</v>
      </c>
      <c r="I40" s="111" t="n">
        <f aca="false">IF(ISNUMBER(INDEX(IF_TokGW_Astra,1,I$7)),IF(INDEX(IF_TokGW_Astra,1,I$7)&gt;0,1,0),0)</f>
        <v>1</v>
      </c>
      <c r="J40" s="111" t="n">
        <f aca="false">IF(ISNUMBER(INDEX(IF_TokGW_Astra,1,J$7)),IF(INDEX(IF_TokGW_Astra,1,J$7)&gt;0,1,0),0)</f>
        <v>1</v>
      </c>
      <c r="K40" s="111" t="n">
        <f aca="false">IF(ISNUMBER(INDEX(IF_TokGW_Astra,1,K$7)),IF(INDEX(IF_TokGW_Astra,1,K$7)&gt;0,1,0),0)</f>
        <v>1</v>
      </c>
      <c r="L40" s="111" t="n">
        <f aca="false">IF(ISNUMBER(INDEX(IF_TokGW_Astra,1,L$7)),IF(INDEX(IF_TokGW_Astra,1,L$7)&gt;0,1,0),0)</f>
        <v>1</v>
      </c>
      <c r="M40" s="111" t="n">
        <f aca="false">IF(ISNUMBER(INDEX(IF_TokGW_Astra,1,M$7)),IF(INDEX(IF_TokGW_Astra,1,M$7)&gt;0,1,0),0)</f>
        <v>1</v>
      </c>
      <c r="N40" s="111" t="n">
        <f aca="false">IF(ISNUMBER(INDEX(IF_TokGW_Astra,1,N$7)),IF(INDEX(IF_TokGW_Astra,1,N$7)&gt;0,1,0),0)</f>
        <v>1</v>
      </c>
      <c r="O40" s="111" t="n">
        <f aca="false">IF(ISNUMBER(INDEX(IF_TokGW_Astra,1,O$7)),IF(INDEX(IF_TokGW_Astra,1,O$7)&gt;0,1,0),0)</f>
        <v>1</v>
      </c>
      <c r="P40" s="111" t="n">
        <f aca="false">IF(ISNUMBER(INDEX(IF_TokGW_Astra,1,P$7)),IF(INDEX(IF_TokGW_Astra,1,P$7)&gt;0,1,0),0)</f>
        <v>1</v>
      </c>
      <c r="Q40" s="111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1771</v>
      </c>
      <c r="B41" s="61" t="s">
        <v>99</v>
      </c>
      <c r="C41" s="103" t="n">
        <f aca="false">INDEX(B4_MixPaid,1,1)*C38+INDEX(B4_MixPaid,1,2)*C39+INDEX(B4_MixPaid,1,3)*C40</f>
        <v>0.85</v>
      </c>
      <c r="D41" s="103" t="n">
        <f aca="false">INDEX(B4_MixPaid,1,1)*D38+INDEX(B4_MixPaid,1,2)*D39+INDEX(B4_MixPaid,1,3)*D40</f>
        <v>0.85</v>
      </c>
      <c r="E41" s="103" t="n">
        <f aca="false">INDEX(B4_MixPaid,1,1)*E38+INDEX(B4_MixPaid,1,2)*E39+INDEX(B4_MixPaid,1,3)*E40</f>
        <v>0.85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1772</v>
      </c>
      <c r="B42" s="61" t="s">
        <v>99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1773</v>
      </c>
      <c r="B43" s="60" t="s">
        <v>1457</v>
      </c>
      <c r="C43" s="60" t="str">
        <f aca="false">IF(C38*C39*C40=1,"無",TRIM(IF(C38=0,"Luna ","")&amp;IF(C39=0,"Sol ","")&amp;IF(C40=0,"Astra","")))</f>
        <v>Astra</v>
      </c>
      <c r="D43" s="60" t="str">
        <f aca="false">IF(D38*D39*D40=1,"無",TRIM(IF(D38=0,"Luna ","")&amp;IF(D39=0,"Sol ","")&amp;IF(D40=0,"Astra","")))</f>
        <v>Astra</v>
      </c>
      <c r="E43" s="60" t="str">
        <f aca="false">IF(E38*E39*E40=1,"無",TRIM(IF(E38=0,"Luna ","")&amp;IF(E39=0,"Sol ","")&amp;IF(E40=0,"Astra","")))</f>
        <v>Astra</v>
      </c>
      <c r="F43" s="60" t="str">
        <f aca="false">IF(F38*F39*F40=1,"無",TRIM(IF(F38=0,"Luna ","")&amp;IF(F39=0,"Sol ","")&amp;IF(F40=0,"Astra","")))</f>
        <v>無</v>
      </c>
      <c r="G43" s="60" t="str">
        <f aca="false">IF(G38*G39*G40=1,"無",TRIM(IF(G38=0,"Luna ","")&amp;IF(G39=0,"Sol ","")&amp;IF(G40=0,"Astra","")))</f>
        <v>無</v>
      </c>
      <c r="H43" s="60" t="str">
        <f aca="false">IF(H38*H39*H40=1,"無",TRIM(IF(H38=0,"Luna ","")&amp;IF(H39=0,"Sol ","")&amp;IF(H40=0,"Astra","")))</f>
        <v>無</v>
      </c>
      <c r="I43" s="60" t="str">
        <f aca="false">IF(I38*I39*I40=1,"無",TRIM(IF(I38=0,"Luna ","")&amp;IF(I39=0,"Sol ","")&amp;IF(I40=0,"Astra","")))</f>
        <v>無</v>
      </c>
      <c r="J43" s="60" t="str">
        <f aca="false">IF(J38*J39*J40=1,"無",TRIM(IF(J38=0,"Luna ","")&amp;IF(J39=0,"Sol ","")&amp;IF(J40=0,"Astra","")))</f>
        <v>無</v>
      </c>
      <c r="K43" s="60" t="str">
        <f aca="false">IF(K38*K39*K40=1,"無",TRIM(IF(K38=0,"Luna ","")&amp;IF(K39=0,"Sol ","")&amp;IF(K40=0,"Astra","")))</f>
        <v>無</v>
      </c>
      <c r="L43" s="60" t="str">
        <f aca="false">IF(L38*L39*L40=1,"無",TRIM(IF(L38=0,"Luna ","")&amp;IF(L39=0,"Sol ","")&amp;IF(L40=0,"Astra","")))</f>
        <v>無</v>
      </c>
      <c r="M43" s="60" t="str">
        <f aca="false">IF(M38*M39*M40=1,"無",TRIM(IF(M38=0,"Luna ","")&amp;IF(M39=0,"Sol ","")&amp;IF(M40=0,"Astra","")))</f>
        <v>無</v>
      </c>
      <c r="N43" s="60" t="str">
        <f aca="false">IF(N38*N39*N40=1,"無",TRIM(IF(N38=0,"Luna ","")&amp;IF(N39=0,"Sol ","")&amp;IF(N40=0,"Astra","")))</f>
        <v>無</v>
      </c>
      <c r="O43" s="60" t="str">
        <f aca="false">IF(O38*O39*O40=1,"無",TRIM(IF(O38=0,"Luna ","")&amp;IF(O39=0,"Sol ","")&amp;IF(O40=0,"Astra","")))</f>
        <v>無</v>
      </c>
      <c r="P43" s="60" t="str">
        <f aca="false">IF(P38*P39*P40=1,"無",TRIM(IF(P38=0,"Luna ","")&amp;IF(P39=0,"Sol ","")&amp;IF(P40=0,"Astra","")))</f>
        <v>無</v>
      </c>
      <c r="Q43" s="60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1774</v>
      </c>
      <c r="B44" s="61" t="s">
        <v>99</v>
      </c>
      <c r="C44" s="103" t="n">
        <f aca="false">IF(C41&gt;0,INDEX(B4_MixPaid,1,1)*C38/C41,0)</f>
        <v>0.470588235294118</v>
      </c>
      <c r="D44" s="103" t="n">
        <f aca="false">IF(D41&gt;0,INDEX(B4_MixPaid,1,1)*D38/D41,0)</f>
        <v>0.470588235294118</v>
      </c>
      <c r="E44" s="103" t="n">
        <f aca="false">IF(E41&gt;0,INDEX(B4_MixPaid,1,1)*E38/E41,0)</f>
        <v>0.470588235294118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1775</v>
      </c>
      <c r="B45" s="61" t="s">
        <v>99</v>
      </c>
      <c r="C45" s="103" t="n">
        <f aca="false">IF(C41&gt;0,INDEX(B4_MixPaid,1,2)*C39/C41,0)</f>
        <v>0.529411764705882</v>
      </c>
      <c r="D45" s="103" t="n">
        <f aca="false">IF(D41&gt;0,INDEX(B4_MixPaid,1,2)*D39/D41,0)</f>
        <v>0.529411764705882</v>
      </c>
      <c r="E45" s="103" t="n">
        <f aca="false">IF(E41&gt;0,INDEX(B4_MixPaid,1,2)*E39/E41,0)</f>
        <v>0.529411764705882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1776</v>
      </c>
      <c r="B46" s="61" t="s">
        <v>99</v>
      </c>
      <c r="C46" s="103" t="n">
        <f aca="false">IF(C41&gt;0,INDEX(B4_MixPaid,1,3)*C40/C41,0)</f>
        <v>0</v>
      </c>
      <c r="D46" s="103" t="n">
        <f aca="false">IF(D41&gt;0,INDEX(B4_MixPaid,1,3)*D40/D41,0)</f>
        <v>0</v>
      </c>
      <c r="E46" s="103" t="n">
        <f aca="false">IF(E41&gt;0,INDEX(B4_MixPaid,1,3)*E40/E41,0)</f>
        <v>0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1777</v>
      </c>
      <c r="B47" s="61" t="s">
        <v>99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1778</v>
      </c>
      <c r="B48" s="61" t="s">
        <v>99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1779</v>
      </c>
      <c r="B49" s="61" t="s">
        <v>99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1780</v>
      </c>
    </row>
    <row r="2" customFormat="false" ht="15" hidden="false" customHeight="false" outlineLevel="0" collapsed="false">
      <c r="A2" s="73" t="s">
        <v>1781</v>
      </c>
    </row>
    <row r="4" customFormat="false" ht="15" hidden="false" customHeight="false" outlineLevel="0" collapsed="false">
      <c r="A4" s="59" t="s">
        <v>171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452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1726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262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1782</v>
      </c>
      <c r="B10" s="61" t="s">
        <v>877</v>
      </c>
      <c r="C10" s="74" t="n">
        <f aca="false">INDEX(IF_ProgCost_Luna,1,C$7)</f>
        <v>62.9827624661971</v>
      </c>
      <c r="D10" s="74" t="n">
        <f aca="false">INDEX(IF_ProgCost_Luna,1,D$7)</f>
        <v>89.9897693565145</v>
      </c>
      <c r="E10" s="74" t="n">
        <f aca="false">INDEX(IF_ProgCost_Luna,1,E$7)</f>
        <v>154.545532852403</v>
      </c>
      <c r="F10" s="74" t="n">
        <f aca="false">INDEX(IF_ProgCost_Luna,1,F$7)</f>
        <v>25.0277109184711</v>
      </c>
      <c r="G10" s="74" t="n">
        <f aca="false">INDEX(IF_ProgCost_Luna,1,G$7)</f>
        <v>33.4172588128753</v>
      </c>
      <c r="H10" s="74" t="n">
        <f aca="false">INDEX(IF_ProgCost_Luna,1,H$7)</f>
        <v>54.2001074196734</v>
      </c>
      <c r="I10" s="74" t="n">
        <f aca="false">INDEX(IF_ProgCost_Luna,1,I$7)</f>
        <v>28.059514355151</v>
      </c>
      <c r="J10" s="74" t="n">
        <f aca="false">INDEX(IF_ProgCost_Luna,1,J$7)</f>
        <v>36.2404866175213</v>
      </c>
      <c r="K10" s="74" t="n">
        <f aca="false">INDEX(IF_ProgCost_Luna,1,K$7)</f>
        <v>61.7011953911825</v>
      </c>
      <c r="L10" s="74" t="n">
        <f aca="false">INDEX(IF_ProgCost_Luna,1,L$7)</f>
        <v>20.9678485935643</v>
      </c>
      <c r="M10" s="74" t="n">
        <f aca="false">INDEX(IF_ProgCost_Luna,1,M$7)</f>
        <v>26.9490908455707</v>
      </c>
      <c r="N10" s="74" t="n">
        <f aca="false">INDEX(IF_ProgCost_Luna,1,N$7)</f>
        <v>43.5370907833372</v>
      </c>
      <c r="O10" s="74" t="n">
        <f aca="false">INDEX(IF_ProgCost_Luna,1,O$7)</f>
        <v>14.4511701546132</v>
      </c>
      <c r="P10" s="74" t="n">
        <f aca="false">INDEX(IF_ProgCost_Luna,1,P$7)</f>
        <v>21.9637971484962</v>
      </c>
      <c r="Q10" s="74" t="n">
        <f aca="false">INDEX(IF_ProgCost_Luna,1,Q$7)</f>
        <v>40.0958226562748</v>
      </c>
    </row>
    <row r="11" customFormat="false" ht="15" hidden="false" customHeight="false" outlineLevel="0" collapsed="false">
      <c r="A11" s="5" t="s">
        <v>1783</v>
      </c>
      <c r="B11" s="61" t="s">
        <v>799</v>
      </c>
      <c r="C11" s="62" t="n">
        <f aca="false">IF(AND(ISNUMBER(Fleet_1GW!C21),ISNUMBER(Fleet_1GW!C22)),Fleet_1GW!C21+Fleet_1GW!C22,"SLO 不可達")</f>
        <v>6987775377.21579</v>
      </c>
      <c r="D11" s="62" t="n">
        <f aca="false">IF(AND(ISNUMBER(Fleet_1GW!D21),ISNUMBER(Fleet_1GW!D22)),Fleet_1GW!D21+Fleet_1GW!D22,"SLO 不可達")</f>
        <v>6987775377.21579</v>
      </c>
      <c r="E11" s="62" t="n">
        <f aca="false">IF(AND(ISNUMBER(Fleet_1GW!E21),ISNUMBER(Fleet_1GW!E22)),Fleet_1GW!E21+Fleet_1GW!E22,"SLO 不可達")</f>
        <v>6987775377.21579</v>
      </c>
      <c r="F11" s="62" t="n">
        <f aca="false">IF(AND(ISNUMBER(Fleet_1GW!F21),ISNUMBER(Fleet_1GW!F22)),Fleet_1GW!F21+Fleet_1GW!F22,"SLO 不可達")</f>
        <v>33683309039.7676</v>
      </c>
      <c r="G11" s="62" t="n">
        <f aca="false">IF(AND(ISNUMBER(Fleet_1GW!G21),ISNUMBER(Fleet_1GW!G22)),Fleet_1GW!G21+Fleet_1GW!G22,"SLO 不可達")</f>
        <v>33683309039.7676</v>
      </c>
      <c r="H11" s="62" t="n">
        <f aca="false">IF(AND(ISNUMBER(Fleet_1GW!H21),ISNUMBER(Fleet_1GW!H22)),Fleet_1GW!H21+Fleet_1GW!H22,"SLO 不可達")</f>
        <v>33683309039.7676</v>
      </c>
      <c r="I11" s="62" t="n">
        <f aca="false">IF(AND(ISNUMBER(Fleet_1GW!I21),ISNUMBER(Fleet_1GW!I22)),Fleet_1GW!I21+Fleet_1GW!I22,"SLO 不可達")</f>
        <v>48404960059.073</v>
      </c>
      <c r="J11" s="62" t="n">
        <f aca="false">IF(AND(ISNUMBER(Fleet_1GW!J21),ISNUMBER(Fleet_1GW!J22)),Fleet_1GW!J21+Fleet_1GW!J22,"SLO 不可達")</f>
        <v>48404960059.073</v>
      </c>
      <c r="K11" s="62" t="n">
        <f aca="false">IF(AND(ISNUMBER(Fleet_1GW!K21),ISNUMBER(Fleet_1GW!K22)),Fleet_1GW!K21+Fleet_1GW!K22,"SLO 不可達")</f>
        <v>48404960059.073</v>
      </c>
      <c r="L11" s="62" t="n">
        <f aca="false">IF(AND(ISNUMBER(Fleet_1GW!L21),ISNUMBER(Fleet_1GW!L22)),Fleet_1GW!L21+Fleet_1GW!L22,"SLO 不可達")</f>
        <v>74152181303.5305</v>
      </c>
      <c r="M11" s="62" t="n">
        <f aca="false">IF(AND(ISNUMBER(Fleet_1GW!M21),ISNUMBER(Fleet_1GW!M22)),Fleet_1GW!M21+Fleet_1GW!M22,"SLO 不可達")</f>
        <v>74152181303.5305</v>
      </c>
      <c r="N11" s="62" t="n">
        <f aca="false">IF(AND(ISNUMBER(Fleet_1GW!N21),ISNUMBER(Fleet_1GW!N22)),Fleet_1GW!N21+Fleet_1GW!N22,"SLO 不可達")</f>
        <v>74152181303.5305</v>
      </c>
      <c r="O11" s="62" t="n">
        <f aca="false">IF(AND(ISNUMBER(Fleet_1GW!O21),ISNUMBER(Fleet_1GW!O22)),Fleet_1GW!O21+Fleet_1GW!O22,"SLO 不可達")</f>
        <v>101232268081.178</v>
      </c>
      <c r="P11" s="62" t="n">
        <f aca="false">IF(AND(ISNUMBER(Fleet_1GW!P21),ISNUMBER(Fleet_1GW!P22)),Fleet_1GW!P21+Fleet_1GW!P22,"SLO 不可達")</f>
        <v>101232268081.178</v>
      </c>
      <c r="Q11" s="62" t="n">
        <f aca="false">IF(AND(ISNUMBER(Fleet_1GW!Q21),ISNUMBER(Fleet_1GW!Q22)),Fleet_1GW!Q21+Fleet_1GW!Q22,"SLO 不可達")</f>
        <v>101232268081.178</v>
      </c>
    </row>
    <row r="12" customFormat="false" ht="29.85" hidden="false" customHeight="false" outlineLevel="0" collapsed="false">
      <c r="A12" s="5" t="s">
        <v>1784</v>
      </c>
      <c r="B12" s="61" t="s">
        <v>1785</v>
      </c>
      <c r="C12" s="62" t="n">
        <f aca="false">IF(ISNUMBER(Fleet_1GW!C21),Fleet_1GW!C21*INDEX(B4_Life,1,1)/12,"SLO 不可達")</f>
        <v>1745460952.99315</v>
      </c>
      <c r="D12" s="62" t="n">
        <f aca="false">IF(ISNUMBER(Fleet_1GW!D21),Fleet_1GW!D21*INDEX(B4_Life,1,1)/12,"SLO 不可達")</f>
        <v>1745460952.99315</v>
      </c>
      <c r="E12" s="62" t="n">
        <f aca="false">IF(ISNUMBER(Fleet_1GW!E21),Fleet_1GW!E21*INDEX(B4_Life,1,1)/12,"SLO 不可達")</f>
        <v>1745460952.99315</v>
      </c>
      <c r="F12" s="62" t="n">
        <f aca="false">IF(ISNUMBER(Fleet_1GW!F21),Fleet_1GW!F21*INDEX(B4_Life,1,1)/12,"SLO 不可達")</f>
        <v>4115849928.14302</v>
      </c>
      <c r="G12" s="62" t="n">
        <f aca="false">IF(ISNUMBER(Fleet_1GW!G21),Fleet_1GW!G21*INDEX(B4_Life,1,1)/12,"SLO 不可達")</f>
        <v>4115849928.14302</v>
      </c>
      <c r="H12" s="62" t="n">
        <f aca="false">IF(ISNUMBER(Fleet_1GW!H21),Fleet_1GW!H21*INDEX(B4_Life,1,1)/12,"SLO 不可達")</f>
        <v>4115849928.14302</v>
      </c>
      <c r="I12" s="62" t="n">
        <f aca="false">IF(ISNUMBER(Fleet_1GW!I21),Fleet_1GW!I21*INDEX(B4_Life,1,1)/12,"SLO 不可達")</f>
        <v>5358405295.61443</v>
      </c>
      <c r="J12" s="62" t="n">
        <f aca="false">IF(ISNUMBER(Fleet_1GW!J21),Fleet_1GW!J21*INDEX(B4_Life,1,1)/12,"SLO 不可達")</f>
        <v>5358405295.61443</v>
      </c>
      <c r="K12" s="62" t="n">
        <f aca="false">IF(ISNUMBER(Fleet_1GW!K21),Fleet_1GW!K21*INDEX(B4_Life,1,1)/12,"SLO 不可達")</f>
        <v>5358405295.61443</v>
      </c>
      <c r="L12" s="62" t="n">
        <f aca="false">IF(ISNUMBER(Fleet_1GW!L21),Fleet_1GW!L21*INDEX(B4_Life,1,1)/12,"SLO 不可達")</f>
        <v>9940186549.66862</v>
      </c>
      <c r="M12" s="62" t="n">
        <f aca="false">IF(ISNUMBER(Fleet_1GW!M21),Fleet_1GW!M21*INDEX(B4_Life,1,1)/12,"SLO 不可達")</f>
        <v>9940186549.66862</v>
      </c>
      <c r="N12" s="62" t="n">
        <f aca="false">IF(ISNUMBER(Fleet_1GW!N21),Fleet_1GW!N21*INDEX(B4_Life,1,1)/12,"SLO 不可達")</f>
        <v>9940186549.66862</v>
      </c>
      <c r="O12" s="62" t="n">
        <f aca="false">IF(ISNUMBER(Fleet_1GW!O21),Fleet_1GW!O21*INDEX(B4_Life,1,1)/12,"SLO 不可達")</f>
        <v>14062015619.0357</v>
      </c>
      <c r="P12" s="62" t="n">
        <f aca="false">IF(ISNUMBER(Fleet_1GW!P21),Fleet_1GW!P21*INDEX(B4_Life,1,1)/12,"SLO 不可達")</f>
        <v>14062015619.0357</v>
      </c>
      <c r="Q12" s="62" t="n">
        <f aca="false">IF(ISNUMBER(Fleet_1GW!Q21),Fleet_1GW!Q21*INDEX(B4_Life,1,1)/12,"SLO 不可達")</f>
        <v>14062015619.0357</v>
      </c>
    </row>
    <row r="13" customFormat="false" ht="26.85" hidden="false" customHeight="false" outlineLevel="0" collapsed="false">
      <c r="A13" s="5" t="s">
        <v>1786</v>
      </c>
      <c r="B13" s="61" t="s">
        <v>807</v>
      </c>
      <c r="C13" s="157" t="n">
        <f aca="false">IF(AND(ISNUMBER(C12),ISNUMBER(C10)),IF(C12&gt;0,C10*1000000/C12,0),"SLO 不可達")</f>
        <v>0.0360837418666932</v>
      </c>
      <c r="D13" s="157" t="n">
        <f aca="false">IF(AND(ISNUMBER(D12),ISNUMBER(D10)),IF(D12&gt;0,D10*1000000/D12,0),"SLO 不可達")</f>
        <v>0.05155644943085</v>
      </c>
      <c r="E13" s="157" t="n">
        <f aca="false">IF(AND(ISNUMBER(E12),ISNUMBER(E10)),IF(E12&gt;0,E10*1000000/E12,0),"SLO 不可達")</f>
        <v>0.0885413864958624</v>
      </c>
      <c r="F13" s="157" t="n">
        <f aca="false">IF(AND(ISNUMBER(F12),ISNUMBER(F10)),IF(F12&gt;0,F10*1000000/F12,0),"SLO 不可達")</f>
        <v>0.00608081231226111</v>
      </c>
      <c r="G13" s="157" t="n">
        <f aca="false">IF(AND(ISNUMBER(G12),ISNUMBER(G10)),IF(G12&gt;0,G10*1000000/G12,0),"SLO 不可達")</f>
        <v>0.00811916357405977</v>
      </c>
      <c r="H13" s="157" t="n">
        <f aca="false">IF(AND(ISNUMBER(H12),ISNUMBER(H10)),IF(H12&gt;0,H10*1000000/H12,0),"SLO 不可達")</f>
        <v>0.0131686306269498</v>
      </c>
      <c r="I13" s="157" t="n">
        <f aca="false">IF(AND(ISNUMBER(I12),ISNUMBER(I10)),IF(I12&gt;0,I10*1000000/I12,0),"SLO 不可達")</f>
        <v>0.00523654199470806</v>
      </c>
      <c r="J13" s="157" t="n">
        <f aca="false">IF(AND(ISNUMBER(J12),ISNUMBER(J10)),IF(J12&gt;0,J10*1000000/J12,0),"SLO 不可達")</f>
        <v>0.00676329702928261</v>
      </c>
      <c r="K13" s="157" t="n">
        <f aca="false">IF(AND(ISNUMBER(K12),ISNUMBER(K10)),IF(K12&gt;0,K10*1000000/K12,0),"SLO 不可達")</f>
        <v>0.0115148429406192</v>
      </c>
      <c r="L13" s="157" t="n">
        <f aca="false">IF(AND(ISNUMBER(L12),ISNUMBER(L10)),IF(L12&gt;0,L10*1000000/L12,0),"SLO 不可達")</f>
        <v>0.00210940192005383</v>
      </c>
      <c r="M13" s="157" t="n">
        <f aca="false">IF(AND(ISNUMBER(M12),ISNUMBER(M10)),IF(M12&gt;0,M10*1000000/M12,0),"SLO 不可達")</f>
        <v>0.00271112526016618</v>
      </c>
      <c r="N13" s="157" t="n">
        <f aca="false">IF(AND(ISNUMBER(N12),ISNUMBER(N10)),IF(N12&gt;0,N10*1000000/N12,0),"SLO 不可達")</f>
        <v>0.00437990681219042</v>
      </c>
      <c r="O13" s="157" t="n">
        <f aca="false">IF(AND(ISNUMBER(O12),ISNUMBER(O10)),IF(O12&gt;0,O10*1000000/O12,0),"SLO 不可達")</f>
        <v>0.00102767416465181</v>
      </c>
      <c r="P13" s="157" t="n">
        <f aca="false">IF(AND(ISNUMBER(P12),ISNUMBER(P10)),IF(P12&gt;0,P10*1000000/P12,0),"SLO 不可達")</f>
        <v>0.00156192381970931</v>
      </c>
      <c r="Q13" s="157" t="n">
        <f aca="false">IF(AND(ISNUMBER(Q12),ISNUMBER(Q10)),IF(Q12&gt;0,Q10*1000000/Q12,0),"SLO 不可達")</f>
        <v>0.00285135671460905</v>
      </c>
    </row>
    <row r="14" customFormat="false" ht="15" hidden="false" customHeight="false" outlineLevel="0" collapsed="false">
      <c r="A14" s="5" t="s">
        <v>1787</v>
      </c>
      <c r="B14" s="61" t="s">
        <v>807</v>
      </c>
      <c r="C14" s="15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0.145199997861622</v>
      </c>
      <c r="D14" s="15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0.207457108188586</v>
      </c>
      <c r="E14" s="15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0.356272388109361</v>
      </c>
      <c r="F14" s="15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5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5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5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5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5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5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5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5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5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5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5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1788</v>
      </c>
      <c r="B15" s="61" t="s">
        <v>807</v>
      </c>
      <c r="C15" s="159" t="n">
        <f aca="false">IF(ISNUMBER(C14),Fleet_1GW!C13/(1-Fleet_1GW!C13)*C14,"SLO 不可達")</f>
        <v>0.208946338386237</v>
      </c>
      <c r="D15" s="159" t="n">
        <f aca="false">IF(ISNUMBER(D14),Fleet_1GW!D13/(1-Fleet_1GW!D13)*D14,"SLO 不可達")</f>
        <v>0.298535838612843</v>
      </c>
      <c r="E15" s="159" t="n">
        <f aca="false">IF(ISNUMBER(E14),Fleet_1GW!E13/(1-Fleet_1GW!E13)*E14,"SLO 不可達")</f>
        <v>0.512684656059812</v>
      </c>
      <c r="F15" s="159" t="n">
        <f aca="false">IF(ISNUMBER(F14),Fleet_1GW!F13/(1-Fleet_1GW!F13)*F14,"SLO 不可達")</f>
        <v>0.0375494516895087</v>
      </c>
      <c r="G15" s="159" t="n">
        <f aca="false">IF(ISNUMBER(G14),Fleet_1GW!G13/(1-Fleet_1GW!G13)*G14,"SLO 不可達")</f>
        <v>0.0501311914724947</v>
      </c>
      <c r="H15" s="159" t="n">
        <f aca="false">IF(ISNUMBER(H14),Fleet_1GW!H13/(1-Fleet_1GW!H13)*H14,"SLO 不可達")</f>
        <v>0.0812990680268838</v>
      </c>
      <c r="I15" s="159" t="n">
        <f aca="false">IF(ISNUMBER(I14),Fleet_1GW!I13/(1-Fleet_1GW!I13)*I14,"SLO 不可達")</f>
        <v>0.0328877428291374</v>
      </c>
      <c r="J15" s="159" t="n">
        <f aca="false">IF(ISNUMBER(J14),Fleet_1GW!J13/(1-Fleet_1GW!J13)*J14,"SLO 不可達")</f>
        <v>0.042471878268405</v>
      </c>
      <c r="K15" s="159" t="n">
        <f aca="false">IF(ISNUMBER(K14),Fleet_1GW!K13/(1-Fleet_1GW!K13)*K14,"SLO 不可達")</f>
        <v>0.0722994920825873</v>
      </c>
      <c r="L15" s="159" t="n">
        <f aca="false">IF(ISNUMBER(L14),Fleet_1GW!L13/(1-Fleet_1GW!L13)*L14,"SLO 不可達")</f>
        <v>0.0251536892040573</v>
      </c>
      <c r="M15" s="159" t="n">
        <f aca="false">IF(ISNUMBER(M14),Fleet_1GW!M13/(1-Fleet_1GW!M13)*M14,"SLO 不可達")</f>
        <v>0.0323245284874553</v>
      </c>
      <c r="N15" s="159" t="n">
        <f aca="false">IF(ISNUMBER(N14),Fleet_1GW!N13/(1-Fleet_1GW!N13)*N14,"SLO 不可達")</f>
        <v>0.0522116817868949</v>
      </c>
      <c r="O15" s="159" t="n">
        <f aca="false">IF(ISNUMBER(O14),Fleet_1GW!O13/(1-Fleet_1GW!O13)*O14,"SLO 不可達")</f>
        <v>0.0197559108737738</v>
      </c>
      <c r="P15" s="159" t="n">
        <f aca="false">IF(ISNUMBER(P14),Fleet_1GW!P13/(1-Fleet_1GW!P13)*P14,"SLO 不可達")</f>
        <v>0.030018171995636</v>
      </c>
      <c r="Q15" s="159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1789</v>
      </c>
      <c r="B16" s="61" t="s">
        <v>103</v>
      </c>
      <c r="C16" s="74" t="n">
        <f aca="false">IF(AND(ISNUMBER(C13),ISNUMBER(C15)),IF(C13&gt;0,C15/C13,0),"SLO 不可達")</f>
        <v>5.79059508734328</v>
      </c>
      <c r="D16" s="74" t="n">
        <f aca="false">IF(AND(ISNUMBER(D13),ISNUMBER(D15)),IF(D13&gt;0,D15/D13,0),"SLO 不可達")</f>
        <v>5.79046543950342</v>
      </c>
      <c r="E16" s="74" t="n">
        <f aca="false">IF(AND(ISNUMBER(E13),ISNUMBER(E15)),IF(E13&gt;0,E15/E13,0),"SLO 不可達")</f>
        <v>5.79033914364747</v>
      </c>
      <c r="F16" s="74" t="n">
        <f aca="false">IF(AND(ISNUMBER(F13),ISNUMBER(F15)),IF(F13&gt;0,F15/F13,0),"SLO 不可達")</f>
        <v>6.17507164524638</v>
      </c>
      <c r="G16" s="74" t="n">
        <f aca="false">IF(AND(ISNUMBER(G13),ISNUMBER(G15)),IF(G13&gt;0,G15/G13,0),"SLO 不可達")</f>
        <v>6.17442806949484</v>
      </c>
      <c r="H16" s="74" t="n">
        <f aca="false">IF(AND(ISNUMBER(H13),ISNUMBER(H15)),IF(H13&gt;0,H15/H13,0),"SLO 不可達")</f>
        <v>6.17369188414351</v>
      </c>
      <c r="I16" s="74" t="n">
        <f aca="false">IF(AND(ISNUMBER(I13),ISNUMBER(I15)),IF(I13&gt;0,I15/I13,0),"SLO 不可達")</f>
        <v>6.28043141110548</v>
      </c>
      <c r="J16" s="74" t="n">
        <f aca="false">IF(AND(ISNUMBER(J13),ISNUMBER(J15)),IF(J13&gt;0,J15/J13,0),"SLO 不可達")</f>
        <v>6.2797594256939</v>
      </c>
      <c r="K16" s="74" t="n">
        <f aca="false">IF(AND(ISNUMBER(K13),ISNUMBER(K15)),IF(K13&gt;0,K15/K13,0),"SLO 不可達")</f>
        <v>6.27880835678157</v>
      </c>
      <c r="L16" s="74" t="n">
        <f aca="false">IF(AND(ISNUMBER(L13),ISNUMBER(L15)),IF(L13&gt;0,L15/L13,0),"SLO 不可達")</f>
        <v>11.9245597365415</v>
      </c>
      <c r="M16" s="74" t="n">
        <f aca="false">IF(AND(ISNUMBER(M13),ISNUMBER(M15)),IF(M13&gt;0,M15/M13,0),"SLO 不可達")</f>
        <v>11.9229195944543</v>
      </c>
      <c r="N16" s="74" t="n">
        <f aca="false">IF(AND(ISNUMBER(N13),ISNUMBER(N15)),IF(N13&gt;0,N15/N13,0),"SLO 不可達")</f>
        <v>11.9207289163268</v>
      </c>
      <c r="O16" s="74" t="n">
        <f aca="false">IF(AND(ISNUMBER(O13),ISNUMBER(O15)),IF(O13&gt;0,O15/O13,0),"SLO 不可達")</f>
        <v>19.2239053518169</v>
      </c>
      <c r="P16" s="74" t="n">
        <f aca="false">IF(AND(ISNUMBER(P13),ISNUMBER(P15)),IF(P13&gt;0,P15/P13,0),"SLO 不可達")</f>
        <v>19.2187170826441</v>
      </c>
      <c r="Q16" s="74" t="n">
        <f aca="false">IF(AND(ISNUMBER(Q13),ISNUMBER(Q15)),IF(Q13&gt;0,Q15/Q13,0),"SLO 不可達")</f>
        <v>19.2142039210808</v>
      </c>
    </row>
    <row r="18" customFormat="false" ht="15" hidden="false" customHeight="false" outlineLevel="0" collapsed="false">
      <c r="A18" s="75" t="s">
        <v>263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</row>
    <row r="19" customFormat="false" ht="15" hidden="false" customHeight="false" outlineLevel="0" collapsed="false">
      <c r="A19" s="5" t="s">
        <v>1782</v>
      </c>
      <c r="B19" s="61" t="s">
        <v>877</v>
      </c>
      <c r="C19" s="74" t="n">
        <f aca="false">INDEX(IF_ProgCost_Sol,1,C$7)</f>
        <v>174.920108637806</v>
      </c>
      <c r="D19" s="74" t="n">
        <f aca="false">INDEX(IF_ProgCost_Sol,1,D$7)</f>
        <v>249.925846624795</v>
      </c>
      <c r="E19" s="74" t="n">
        <f aca="false">INDEX(IF_ProgCost_Sol,1,E$7)</f>
        <v>429.214603131113</v>
      </c>
      <c r="F19" s="74" t="n">
        <f aca="false">INDEX(IF_ProgCost_Sol,1,F$7)</f>
        <v>74.0361250834957</v>
      </c>
      <c r="G19" s="74" t="n">
        <f aca="false">INDEX(IF_ProgCost_Sol,1,G$7)</f>
        <v>98.8538009519539</v>
      </c>
      <c r="H19" s="74" t="n">
        <f aca="false">INDEX(IF_ProgCost_Sol,1,H$7)</f>
        <v>160.332918401272</v>
      </c>
      <c r="I19" s="74" t="n">
        <f aca="false">INDEX(IF_ProgCost_Sol,1,I$7)</f>
        <v>86.2049176761941</v>
      </c>
      <c r="J19" s="74" t="n">
        <f aca="false">INDEX(IF_ProgCost_Sol,1,J$7)</f>
        <v>111.33863993035</v>
      </c>
      <c r="K19" s="74" t="n">
        <f aca="false">INDEX(IF_ProgCost_Sol,1,K$7)</f>
        <v>189.559462858032</v>
      </c>
      <c r="L19" s="74" t="n">
        <f aca="false">INDEX(IF_ProgCost_Sol,1,L$7)</f>
        <v>61.07819684623</v>
      </c>
      <c r="M19" s="74" t="n">
        <f aca="false">INDEX(IF_ProgCost_Sol,1,M$7)</f>
        <v>78.50122859042</v>
      </c>
      <c r="N19" s="74" t="n">
        <f aca="false">INDEX(IF_ProgCost_Sol,1,N$7)</f>
        <v>126.821165705719</v>
      </c>
      <c r="O19" s="74" t="n">
        <f aca="false">INDEX(IF_ProgCost_Sol,1,O$7)</f>
        <v>43.536770447398</v>
      </c>
      <c r="P19" s="74" t="n">
        <f aca="false">INDEX(IF_ProgCost_Sol,1,P$7)</f>
        <v>66.1699214926233</v>
      </c>
      <c r="Q19" s="74" t="n">
        <f aca="false">INDEX(IF_ProgCost_Sol,1,Q$7)</f>
        <v>120.79593612207</v>
      </c>
    </row>
    <row r="20" customFormat="false" ht="15" hidden="false" customHeight="false" outlineLevel="0" collapsed="false">
      <c r="A20" s="5" t="s">
        <v>1783</v>
      </c>
      <c r="B20" s="61" t="s">
        <v>799</v>
      </c>
      <c r="C20" s="62" t="n">
        <f aca="false">IF(AND(ISNUMBER(Fleet_1GW!C24),ISNUMBER(Fleet_1GW!C25)),Fleet_1GW!C24+Fleet_1GW!C25,"SLO 不可達")</f>
        <v>2546122952.58647</v>
      </c>
      <c r="D20" s="62" t="n">
        <f aca="false">IF(AND(ISNUMBER(Fleet_1GW!D24),ISNUMBER(Fleet_1GW!D25)),Fleet_1GW!D24+Fleet_1GW!D25,"SLO 不可達")</f>
        <v>2546122952.58647</v>
      </c>
      <c r="E20" s="62" t="n">
        <f aca="false">IF(AND(ISNUMBER(Fleet_1GW!E24),ISNUMBER(Fleet_1GW!E25)),Fleet_1GW!E24+Fleet_1GW!E25,"SLO 不可達")</f>
        <v>2546122952.58647</v>
      </c>
      <c r="F20" s="62" t="n">
        <f aca="false">IF(AND(ISNUMBER(Fleet_1GW!F24),ISNUMBER(Fleet_1GW!F25)),Fleet_1GW!F24+Fleet_1GW!F25,"SLO 不可達")</f>
        <v>7915604403.78585</v>
      </c>
      <c r="G20" s="62" t="n">
        <f aca="false">IF(AND(ISNUMBER(Fleet_1GW!G24),ISNUMBER(Fleet_1GW!G25)),Fleet_1GW!G24+Fleet_1GW!G25,"SLO 不可達")</f>
        <v>7915604403.78585</v>
      </c>
      <c r="H20" s="62" t="n">
        <f aca="false">IF(AND(ISNUMBER(Fleet_1GW!H24),ISNUMBER(Fleet_1GW!H25)),Fleet_1GW!H24+Fleet_1GW!H25,"SLO 不可達")</f>
        <v>7915604403.78585</v>
      </c>
      <c r="I20" s="62" t="n">
        <f aca="false">IF(AND(ISNUMBER(Fleet_1GW!I24),ISNUMBER(Fleet_1GW!I25)),Fleet_1GW!I24+Fleet_1GW!I25,"SLO 不可達")</f>
        <v>10811156486.8394</v>
      </c>
      <c r="J20" s="62" t="n">
        <f aca="false">IF(AND(ISNUMBER(Fleet_1GW!J24),ISNUMBER(Fleet_1GW!J25)),Fleet_1GW!J24+Fleet_1GW!J25,"SLO 不可達")</f>
        <v>10811156486.8394</v>
      </c>
      <c r="K20" s="62" t="n">
        <f aca="false">IF(AND(ISNUMBER(Fleet_1GW!K24),ISNUMBER(Fleet_1GW!K25)),Fleet_1GW!K24+Fleet_1GW!K25,"SLO 不可達")</f>
        <v>10811156486.8394</v>
      </c>
      <c r="L20" s="62" t="n">
        <f aca="false">IF(AND(ISNUMBER(Fleet_1GW!L24),ISNUMBER(Fleet_1GW!L25)),Fleet_1GW!L24+Fleet_1GW!L25,"SLO 不可達")</f>
        <v>18317375952.1396</v>
      </c>
      <c r="M20" s="62" t="n">
        <f aca="false">IF(AND(ISNUMBER(Fleet_1GW!M24),ISNUMBER(Fleet_1GW!M25)),Fleet_1GW!M24+Fleet_1GW!M25,"SLO 不可達")</f>
        <v>18317375952.1396</v>
      </c>
      <c r="N20" s="62" t="n">
        <f aca="false">IF(AND(ISNUMBER(Fleet_1GW!N24),ISNUMBER(Fleet_1GW!N25)),Fleet_1GW!N24+Fleet_1GW!N25,"SLO 不可達")</f>
        <v>18317375952.1396</v>
      </c>
      <c r="O20" s="62" t="n">
        <f aca="false">IF(AND(ISNUMBER(Fleet_1GW!O24),ISNUMBER(Fleet_1GW!O25)),Fleet_1GW!O24+Fleet_1GW!O25,"SLO 不可達")</f>
        <v>25505351178.3199</v>
      </c>
      <c r="P20" s="62" t="n">
        <f aca="false">IF(AND(ISNUMBER(Fleet_1GW!P24),ISNUMBER(Fleet_1GW!P25)),Fleet_1GW!P24+Fleet_1GW!P25,"SLO 不可達")</f>
        <v>25505351178.3199</v>
      </c>
      <c r="Q20" s="62" t="n">
        <f aca="false">IF(AND(ISNUMBER(Fleet_1GW!Q24),ISNUMBER(Fleet_1GW!Q25)),Fleet_1GW!Q24+Fleet_1GW!Q25,"SLO 不可達")</f>
        <v>25505351178.3199</v>
      </c>
    </row>
    <row r="21" customFormat="false" ht="29.85" hidden="false" customHeight="false" outlineLevel="0" collapsed="false">
      <c r="A21" s="5" t="s">
        <v>1784</v>
      </c>
      <c r="B21" s="61" t="s">
        <v>1785</v>
      </c>
      <c r="C21" s="62" t="n">
        <f aca="false">IF(ISNUMBER(Fleet_1GW!C24),Fleet_1GW!C24*INDEX(B4_Life,1,2)/12,"SLO 不可達")</f>
        <v>1963643572.11729</v>
      </c>
      <c r="D21" s="62" t="n">
        <f aca="false">IF(ISNUMBER(Fleet_1GW!D24),Fleet_1GW!D24*INDEX(B4_Life,1,2)/12,"SLO 不可達")</f>
        <v>1963643572.11729</v>
      </c>
      <c r="E21" s="62" t="n">
        <f aca="false">IF(ISNUMBER(Fleet_1GW!E24),Fleet_1GW!E24*INDEX(B4_Life,1,2)/12,"SLO 不可達")</f>
        <v>1963643572.11729</v>
      </c>
      <c r="F21" s="62" t="n">
        <f aca="false">IF(ISNUMBER(Fleet_1GW!F24),Fleet_1GW!F24*INDEX(B4_Life,1,2)/12,"SLO 不可達")</f>
        <v>4630331169.1609</v>
      </c>
      <c r="G21" s="62" t="n">
        <f aca="false">IF(ISNUMBER(Fleet_1GW!G24),Fleet_1GW!G24*INDEX(B4_Life,1,2)/12,"SLO 不可達")</f>
        <v>4630331169.1609</v>
      </c>
      <c r="H21" s="62" t="n">
        <f aca="false">IF(ISNUMBER(Fleet_1GW!H24),Fleet_1GW!H24*INDEX(B4_Life,1,2)/12,"SLO 不可達")</f>
        <v>4630331169.1609</v>
      </c>
      <c r="I21" s="62" t="n">
        <f aca="false">IF(ISNUMBER(Fleet_1GW!I24),Fleet_1GW!I24*INDEX(B4_Life,1,2)/12,"SLO 不可達")</f>
        <v>6028205957.56624</v>
      </c>
      <c r="J21" s="62" t="n">
        <f aca="false">IF(ISNUMBER(Fleet_1GW!J24),Fleet_1GW!J24*INDEX(B4_Life,1,2)/12,"SLO 不可達")</f>
        <v>6028205957.56624</v>
      </c>
      <c r="K21" s="62" t="n">
        <f aca="false">IF(ISNUMBER(Fleet_1GW!K24),Fleet_1GW!K24*INDEX(B4_Life,1,2)/12,"SLO 不可達")</f>
        <v>6028205957.56624</v>
      </c>
      <c r="L21" s="62" t="n">
        <f aca="false">IF(ISNUMBER(Fleet_1GW!L24),Fleet_1GW!L24*INDEX(B4_Life,1,2)/12,"SLO 不可達")</f>
        <v>11182709868.3772</v>
      </c>
      <c r="M21" s="62" t="n">
        <f aca="false">IF(ISNUMBER(Fleet_1GW!M24),Fleet_1GW!M24*INDEX(B4_Life,1,2)/12,"SLO 不可達")</f>
        <v>11182709868.3772</v>
      </c>
      <c r="N21" s="62" t="n">
        <f aca="false">IF(ISNUMBER(Fleet_1GW!N24),Fleet_1GW!N24*INDEX(B4_Life,1,2)/12,"SLO 不可達")</f>
        <v>11182709868.3772</v>
      </c>
      <c r="O21" s="62" t="n">
        <f aca="false">IF(ISNUMBER(Fleet_1GW!O24),Fleet_1GW!O24*INDEX(B4_Life,1,2)/12,"SLO 不可達")</f>
        <v>15819767571.4152</v>
      </c>
      <c r="P21" s="62" t="n">
        <f aca="false">IF(ISNUMBER(Fleet_1GW!P24),Fleet_1GW!P24*INDEX(B4_Life,1,2)/12,"SLO 不可達")</f>
        <v>15819767571.4152</v>
      </c>
      <c r="Q21" s="62" t="n">
        <f aca="false">IF(ISNUMBER(Fleet_1GW!Q24),Fleet_1GW!Q24*INDEX(B4_Life,1,2)/12,"SLO 不可達")</f>
        <v>15819767571.4152</v>
      </c>
    </row>
    <row r="22" customFormat="false" ht="26.85" hidden="false" customHeight="false" outlineLevel="0" collapsed="false">
      <c r="A22" s="5" t="s">
        <v>1790</v>
      </c>
      <c r="B22" s="61" t="s">
        <v>807</v>
      </c>
      <c r="C22" s="157" t="n">
        <f aca="false">IF(AND(ISNUMBER(C21),ISNUMBER(C19)),IF(C21&gt;0,C19*1000000/C21,0),"SLO 不可達")</f>
        <v>0.0890793579453931</v>
      </c>
      <c r="D22" s="157" t="n">
        <f aca="false">IF(AND(ISNUMBER(D21),ISNUMBER(D19)),IF(D21&gt;0,D19*1000000/D21,0),"SLO 不可達")</f>
        <v>0.127276584291371</v>
      </c>
      <c r="E22" s="157" t="n">
        <f aca="false">IF(AND(ISNUMBER(E21),ISNUMBER(E19)),IF(E21&gt;0,E19*1000000/E21,0),"SLO 不可達")</f>
        <v>0.218580708447162</v>
      </c>
      <c r="F22" s="157" t="n">
        <f aca="false">IF(AND(ISNUMBER(F21),ISNUMBER(F19)),IF(F21&gt;0,F19*1000000/F21,0),"SLO 不可達")</f>
        <v>0.0159893801066744</v>
      </c>
      <c r="G22" s="157" t="n">
        <f aca="false">IF(AND(ISNUMBER(G21),ISNUMBER(G19)),IF(G21&gt;0,G19*1000000/G21,0),"SLO 不可達")</f>
        <v>0.0213491859092809</v>
      </c>
      <c r="H22" s="157" t="n">
        <f aca="false">IF(AND(ISNUMBER(H21),ISNUMBER(H19)),IF(H21&gt;0,H19*1000000/H21,0),"SLO 不可達")</f>
        <v>0.0346266633084749</v>
      </c>
      <c r="I22" s="157" t="n">
        <f aca="false">IF(AND(ISNUMBER(I21),ISNUMBER(I19)),IF(I21&gt;0,I19*1000000/I21,0),"SLO 不可達")</f>
        <v>0.0143002608542256</v>
      </c>
      <c r="J22" s="157" t="n">
        <f aca="false">IF(AND(ISNUMBER(J21),ISNUMBER(J19)),IF(J21&gt;0,J19*1000000/J21,0),"SLO 不可達")</f>
        <v>0.018469614461431</v>
      </c>
      <c r="K22" s="157" t="n">
        <f aca="false">IF(AND(ISNUMBER(K21),ISNUMBER(K19)),IF(K21&gt;0,K19*1000000/K21,0),"SLO 不可達")</f>
        <v>0.0314454191167951</v>
      </c>
      <c r="L22" s="157" t="n">
        <f aca="false">IF(AND(ISNUMBER(L21),ISNUMBER(L19)),IF(L21&gt;0,L19*1000000/L21,0),"SLO 不可達")</f>
        <v>0.00546184221580753</v>
      </c>
      <c r="M22" s="157" t="n">
        <f aca="false">IF(AND(ISNUMBER(M21),ISNUMBER(M19)),IF(M21&gt;0,M19*1000000/M21,0),"SLO 不可達")</f>
        <v>0.00701987528196614</v>
      </c>
      <c r="N22" s="157" t="n">
        <f aca="false">IF(AND(ISNUMBER(N21),ISNUMBER(N19)),IF(N21&gt;0,N19*1000000/N21,0),"SLO 不可達")</f>
        <v>0.0113408258998428</v>
      </c>
      <c r="O22" s="157" t="n">
        <f aca="false">IF(AND(ISNUMBER(O21),ISNUMBER(O19)),IF(O21&gt;0,O19*1000000/O21,0),"SLO 不可達")</f>
        <v>0.00275204867902514</v>
      </c>
      <c r="P22" s="157" t="n">
        <f aca="false">IF(AND(ISNUMBER(P21),ISNUMBER(P19)),IF(P21&gt;0,P19*1000000/P21,0),"SLO 不可達")</f>
        <v>0.00418273664223652</v>
      </c>
      <c r="Q22" s="157" t="n">
        <f aca="false">IF(AND(ISNUMBER(Q21),ISNUMBER(Q19)),IF(Q21&gt;0,Q19*1000000/Q21,0),"SLO 不可達")</f>
        <v>0.00763575922192034</v>
      </c>
    </row>
    <row r="23" customFormat="false" ht="15" hidden="false" customHeight="false" outlineLevel="0" collapsed="false">
      <c r="A23" s="5" t="s">
        <v>1787</v>
      </c>
      <c r="B23" s="61" t="s">
        <v>807</v>
      </c>
      <c r="C23" s="15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0.499286899028657</v>
      </c>
      <c r="D23" s="15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0.713374518877047</v>
      </c>
      <c r="E23" s="15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1.22511540932297</v>
      </c>
      <c r="F23" s="15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5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5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5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5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5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5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5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5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5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5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5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1791</v>
      </c>
      <c r="B24" s="61" t="s">
        <v>807</v>
      </c>
      <c r="C24" s="159" t="n">
        <f aca="false">IF(ISNUMBER(C23),Fleet_1GW!C13/(1-Fleet_1GW!C13)*C23,"SLO 不可達")</f>
        <v>0.718486025431483</v>
      </c>
      <c r="D24" s="159" t="n">
        <f aca="false">IF(ISNUMBER(D23),Fleet_1GW!D13/(1-Fleet_1GW!D13)*D23,"SLO 不可達")</f>
        <v>1.02656333204258</v>
      </c>
      <c r="E24" s="159" t="n">
        <f aca="false">IF(ISNUMBER(E23),Fleet_1GW!E13/(1-Fleet_1GW!E13)*E23,"SLO 不可達")</f>
        <v>1.7629709548794</v>
      </c>
      <c r="F24" s="159" t="n">
        <f aca="false">IF(ISNUMBER(F23),Fleet_1GW!F13/(1-Fleet_1GW!F13)*F23,"SLO 不可達")</f>
        <v>0.130648458909903</v>
      </c>
      <c r="G24" s="159" t="n">
        <f aca="false">IF(ISNUMBER(G23),Fleet_1GW!G13/(1-Fleet_1GW!G13)*G23,"SLO 不可達")</f>
        <v>0.174435762741057</v>
      </c>
      <c r="H24" s="159" t="n">
        <f aca="false">IF(ISNUMBER(H23),Fleet_1GW!H13/(1-Fleet_1GW!H13)*H23,"SLO 不可達")</f>
        <v>0.282907031738724</v>
      </c>
      <c r="I24" s="159" t="n">
        <f aca="false">IF(ISNUMBER(I23),Fleet_1GW!I13/(1-Fleet_1GW!I13)*I23,"SLO 不可達")</f>
        <v>0.114412296158999</v>
      </c>
      <c r="J24" s="159" t="n">
        <f aca="false">IF(ISNUMBER(J23),Fleet_1GW!J13/(1-Fleet_1GW!J13)*J23,"SLO 不可達")</f>
        <v>0.14776365429894</v>
      </c>
      <c r="K24" s="159" t="n">
        <f aca="false">IF(ISNUMBER(K23),Fleet_1GW!K13/(1-Fleet_1GW!K13)*K23,"SLO 不可達")</f>
        <v>0.251559290022202</v>
      </c>
      <c r="L24" s="159" t="n">
        <f aca="false">IF(ISNUMBER(L23),Fleet_1GW!L13/(1-Fleet_1GW!L13)*L23,"SLO 不可達")</f>
        <v>0.0808819890837787</v>
      </c>
      <c r="M24" s="159" t="n">
        <f aca="false">IF(ISNUMBER(M23),Fleet_1GW!M13/(1-Fleet_1GW!M13)*M23,"SLO 不可達")</f>
        <v>0.103947898919895</v>
      </c>
      <c r="N24" s="159" t="n">
        <f aca="false">IF(ISNUMBER(N23),Fleet_1GW!N13/(1-Fleet_1GW!N13)*N23,"SLO 不可達")</f>
        <v>0.167917438156943</v>
      </c>
      <c r="O24" s="159" t="n">
        <f aca="false">IF(ISNUMBER(O23),Fleet_1GW!O13/(1-Fleet_1GW!O13)*O23,"SLO 不可達")</f>
        <v>0.0621848378353225</v>
      </c>
      <c r="P24" s="159" t="n">
        <f aca="false">IF(ISNUMBER(P23),Fleet_1GW!P13/(1-Fleet_1GW!P13)*P23,"SLO 不可達")</f>
        <v>0.0945009310541822</v>
      </c>
      <c r="Q24" s="159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1789</v>
      </c>
      <c r="B25" s="61" t="s">
        <v>103</v>
      </c>
      <c r="C25" s="74" t="n">
        <f aca="false">IF(AND(ISNUMBER(C22),ISNUMBER(C24)),IF(C22&gt;0,C24/C22,0),"SLO 不可達")</f>
        <v>8.06568482309812</v>
      </c>
      <c r="D25" s="74" t="n">
        <f aca="false">IF(AND(ISNUMBER(D22),ISNUMBER(D24)),IF(D22&gt;0,D24/D22,0),"SLO 不可達")</f>
        <v>8.06561032226082</v>
      </c>
      <c r="E25" s="74" t="n">
        <f aca="false">IF(AND(ISNUMBER(E22),ISNUMBER(E24)),IF(E22&gt;0,E24/E22,0),"SLO 不可達")</f>
        <v>8.06553774760761</v>
      </c>
      <c r="F25" s="74" t="n">
        <f aca="false">IF(AND(ISNUMBER(F22),ISNUMBER(F24)),IF(F22&gt;0,F24/F22,0),"SLO 不可達")</f>
        <v>8.17095209684629</v>
      </c>
      <c r="G25" s="74" t="n">
        <f aca="false">IF(AND(ISNUMBER(G22),ISNUMBER(G24)),IF(G22&gt;0,G24/G22,0),"SLO 不可達")</f>
        <v>8.17060488780636</v>
      </c>
      <c r="H25" s="74" t="n">
        <f aca="false">IF(AND(ISNUMBER(H22),ISNUMBER(H24)),IF(H22&gt;0,H24/H22,0),"SLO 不可達")</f>
        <v>8.17020771589857</v>
      </c>
      <c r="I25" s="74" t="n">
        <f aca="false">IF(AND(ISNUMBER(I22),ISNUMBER(I24)),IF(I22&gt;0,I24/I22,0),"SLO 不可達")</f>
        <v>8.00071392580167</v>
      </c>
      <c r="J25" s="74" t="n">
        <f aca="false">IF(AND(ISNUMBER(J22),ISNUMBER(J24)),IF(J22&gt;0,J24/J22,0),"SLO 不可達")</f>
        <v>8.00036484830294</v>
      </c>
      <c r="K25" s="74" t="n">
        <f aca="false">IF(AND(ISNUMBER(K22),ISNUMBER(K24)),IF(K22&gt;0,K24/K22,0),"SLO 不可達")</f>
        <v>7.99987079478433</v>
      </c>
      <c r="L25" s="74" t="n">
        <f aca="false">IF(AND(ISNUMBER(L22),ISNUMBER(L24)),IF(L22&gt;0,L24/L22,0),"SLO 不可達")</f>
        <v>14.8085546758733</v>
      </c>
      <c r="M25" s="74" t="n">
        <f aca="false">IF(AND(ISNUMBER(M22),ISNUMBER(M24)),IF(M22&gt;0,M24/M22,0),"SLO 不可達")</f>
        <v>14.8076560828558</v>
      </c>
      <c r="N25" s="74" t="n">
        <f aca="false">IF(AND(ISNUMBER(N22),ISNUMBER(N24)),IF(N22&gt;0,N24/N22,0),"SLO 不可達")</f>
        <v>14.8064558648477</v>
      </c>
      <c r="O25" s="74" t="n">
        <f aca="false">IF(AND(ISNUMBER(O22),ISNUMBER(O24)),IF(O22&gt;0,O24/O22,0),"SLO 不可達")</f>
        <v>22.595834989863</v>
      </c>
      <c r="P25" s="74" t="n">
        <f aca="false">IF(AND(ISNUMBER(P22),ISNUMBER(P24)),IF(P22&gt;0,P24/P22,0),"SLO 不可達")</f>
        <v>22.5930865691923</v>
      </c>
      <c r="Q25" s="74" t="n">
        <f aca="false">IF(AND(ISNUMBER(Q22),ISNUMBER(Q24)),IF(Q22&gt;0,Q24/Q22,0),"SLO 不可達")</f>
        <v>22.5906957783297</v>
      </c>
    </row>
    <row r="26" customFormat="false" ht="29.85" hidden="false" customHeight="false" outlineLevel="0" collapsed="false">
      <c r="A26" s="5" t="s">
        <v>1792</v>
      </c>
      <c r="B26" s="61" t="s">
        <v>99</v>
      </c>
      <c r="C26" s="160" t="n">
        <f aca="false">IF(ISNUMBER(C22),C22/(INDEX(B4_EffRef,1,2)-INDEX(B4_EffRef,1,1)),"SLO 不可達")</f>
        <v>0.0583455272988864</v>
      </c>
      <c r="D26" s="160" t="n">
        <f aca="false">IF(ISNUMBER(D22),D22/(INDEX(B4_EffRef,1,2)-INDEX(B4_EffRef,1,1)),"SLO 不可達")</f>
        <v>0.0833640878713276</v>
      </c>
      <c r="E26" s="160" t="n">
        <f aca="false">IF(ISNUMBER(E22),E22/(INDEX(B4_EffRef,1,2)-INDEX(B4_EffRef,1,1)),"SLO 不可達")</f>
        <v>0.143166800770294</v>
      </c>
      <c r="F26" s="160" t="n">
        <f aca="false">IF(ISNUMBER(F22),F22/(INDEX(B4_EffRef,1,2)-INDEX(B4_EffRef,1,1)),"SLO 不可達")</f>
        <v>0.0104727833139315</v>
      </c>
      <c r="G26" s="160" t="n">
        <f aca="false">IF(ISNUMBER(G22),G22/(INDEX(B4_EffRef,1,2)-INDEX(B4_EffRef,1,1)),"SLO 不可達")</f>
        <v>0.0139833687400681</v>
      </c>
      <c r="H26" s="160" t="n">
        <f aca="false">IF(ISNUMBER(H22),H22/(INDEX(B4_EffRef,1,2)-INDEX(B4_EffRef,1,1)),"SLO 不可達")</f>
        <v>0.0226798999895402</v>
      </c>
      <c r="I26" s="160" t="n">
        <f aca="false">IF(ISNUMBER(I22),I22/(INDEX(B4_EffRef,1,2)-INDEX(B4_EffRef,1,1)),"SLO 不可達")</f>
        <v>0.0093664377392896</v>
      </c>
      <c r="J26" s="160" t="n">
        <f aca="false">IF(ISNUMBER(J22),J22/(INDEX(B4_EffRef,1,2)-INDEX(B4_EffRef,1,1)),"SLO 不可達")</f>
        <v>0.0120972963839717</v>
      </c>
      <c r="K26" s="160" t="n">
        <f aca="false">IF(ISNUMBER(K22),K22/(INDEX(B4_EffRef,1,2)-INDEX(B4_EffRef,1,1)),"SLO 不可達")</f>
        <v>0.020596236904049</v>
      </c>
      <c r="L26" s="160" t="n">
        <f aca="false">IF(ISNUMBER(L22),L22/(INDEX(B4_EffRef,1,2)-INDEX(B4_EffRef,1,1)),"SLO 不可達")</f>
        <v>0.00357741761340444</v>
      </c>
      <c r="M26" s="160" t="n">
        <f aca="false">IF(ISNUMBER(M22),M22/(INDEX(B4_EffRef,1,2)-INDEX(B4_EffRef,1,1)),"SLO 不可達")</f>
        <v>0.00459790387296921</v>
      </c>
      <c r="N26" s="160" t="n">
        <f aca="false">IF(ISNUMBER(N22),N22/(INDEX(B4_EffRef,1,2)-INDEX(B4_EffRef,1,1)),"SLO 不可達")</f>
        <v>0.00742805608833437</v>
      </c>
      <c r="O26" s="160" t="n">
        <f aca="false">IF(ISNUMBER(O22),O22/(INDEX(B4_EffRef,1,2)-INDEX(B4_EffRef,1,1)),"SLO 不可達")</f>
        <v>0.00180254702136894</v>
      </c>
      <c r="P26" s="160" t="n">
        <f aca="false">IF(ISNUMBER(P22),P22/(INDEX(B4_EffRef,1,2)-INDEX(B4_EffRef,1,1)),"SLO 不可達")</f>
        <v>0.00273962431445976</v>
      </c>
      <c r="Q26" s="160" t="n">
        <f aca="false">IF(ISNUMBER(Q22),Q22/(INDEX(B4_EffRef,1,2)-INDEX(B4_EffRef,1,1)),"SLO 不可達")</f>
        <v>0.00500129781361224</v>
      </c>
    </row>
    <row r="28" customFormat="false" ht="15" hidden="false" customHeight="false" outlineLevel="0" collapsed="false">
      <c r="A28" s="75" t="s">
        <v>264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</row>
    <row r="29" customFormat="false" ht="15" hidden="false" customHeight="false" outlineLevel="0" collapsed="false">
      <c r="A29" s="5" t="s">
        <v>1782</v>
      </c>
      <c r="B29" s="61" t="s">
        <v>877</v>
      </c>
      <c r="C29" s="74" t="n">
        <f aca="false">INDEX(IF_ProgCost_Astra,1,C$7)</f>
        <v>1065.16743684915</v>
      </c>
      <c r="D29" s="74" t="n">
        <f aca="false">INDEX(IF_ProgCost_Astra,1,D$7)</f>
        <v>1521.91120577745</v>
      </c>
      <c r="E29" s="74" t="n">
        <f aca="false">INDEX(IF_ProgCost_Astra,1,E$7)</f>
        <v>2613.68130991761</v>
      </c>
      <c r="F29" s="74" t="n">
        <f aca="false">INDEX(IF_ProgCost_Astra,1,F$7)</f>
        <v>465.455930936714</v>
      </c>
      <c r="G29" s="74" t="n">
        <f aca="false">INDEX(IF_ProgCost_Astra,1,G$7)</f>
        <v>621.48157938889</v>
      </c>
      <c r="H29" s="74" t="n">
        <f aca="false">INDEX(IF_ProgCost_Astra,1,H$7)</f>
        <v>1007.99316158296</v>
      </c>
      <c r="I29" s="74" t="n">
        <f aca="false">INDEX(IF_ProgCost_Astra,1,I$7)</f>
        <v>552.821212490455</v>
      </c>
      <c r="J29" s="74" t="n">
        <f aca="false">INDEX(IF_ProgCost_Astra,1,J$7)</f>
        <v>714.000588162868</v>
      </c>
      <c r="K29" s="74" t="n">
        <f aca="false">INDEX(IF_ProgCost_Astra,1,K$7)</f>
        <v>1215.62081283856</v>
      </c>
      <c r="L29" s="74" t="n">
        <f aca="false">INDEX(IF_ProgCost_Astra,1,L$7)</f>
        <v>380.652805094568</v>
      </c>
      <c r="M29" s="74" t="n">
        <f aca="false">INDEX(IF_ProgCost_Astra,1,M$7)</f>
        <v>489.236984869465</v>
      </c>
      <c r="N29" s="74" t="n">
        <f aca="false">INDEX(IF_ProgCost_Astra,1,N$7)</f>
        <v>790.377499073548</v>
      </c>
      <c r="O29" s="74" t="n">
        <f aca="false">INDEX(IF_ProgCost_Astra,1,O$7)</f>
        <v>275.298530538818</v>
      </c>
      <c r="P29" s="74" t="n">
        <f aca="false">INDEX(IF_ProgCost_Astra,1,P$7)</f>
        <v>418.416018588187</v>
      </c>
      <c r="Q29" s="74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1783</v>
      </c>
      <c r="B30" s="61" t="s">
        <v>799</v>
      </c>
      <c r="C30" s="62" t="str">
        <f aca="false">IF(AND(ISNUMBER(Fleet_1GW!C27),ISNUMBER(Fleet_1GW!C28)),Fleet_1GW!C27+Fleet_1GW!C28,"SLO 不可達")</f>
        <v>SLO 不可達</v>
      </c>
      <c r="D30" s="62" t="str">
        <f aca="false">IF(AND(ISNUMBER(Fleet_1GW!D27),ISNUMBER(Fleet_1GW!D28)),Fleet_1GW!D27+Fleet_1GW!D28,"SLO 不可達")</f>
        <v>SLO 不可達</v>
      </c>
      <c r="E30" s="62" t="str">
        <f aca="false">IF(AND(ISNUMBER(Fleet_1GW!E27),ISNUMBER(Fleet_1GW!E28)),Fleet_1GW!E27+Fleet_1GW!E28,"SLO 不可達")</f>
        <v>SLO 不可達</v>
      </c>
      <c r="F30" s="62" t="n">
        <f aca="false">IF(AND(ISNUMBER(Fleet_1GW!F27),ISNUMBER(Fleet_1GW!F28)),Fleet_1GW!F27+Fleet_1GW!F28,"SLO 不可達")</f>
        <v>1543443723.05363</v>
      </c>
      <c r="G30" s="62" t="n">
        <f aca="false">IF(AND(ISNUMBER(Fleet_1GW!G27),ISNUMBER(Fleet_1GW!G28)),Fleet_1GW!G27+Fleet_1GW!G28,"SLO 不可達")</f>
        <v>1543443723.05363</v>
      </c>
      <c r="H30" s="62" t="n">
        <f aca="false">IF(AND(ISNUMBER(Fleet_1GW!H27),ISNUMBER(Fleet_1GW!H28)),Fleet_1GW!H27+Fleet_1GW!H28,"SLO 不可達")</f>
        <v>1543443723.05363</v>
      </c>
      <c r="I30" s="62" t="n">
        <f aca="false">IF(AND(ISNUMBER(Fleet_1GW!I27),ISNUMBER(Fleet_1GW!I28)),Fleet_1GW!I27+Fleet_1GW!I28,"SLO 不可達")</f>
        <v>2009401985.85541</v>
      </c>
      <c r="J30" s="62" t="n">
        <f aca="false">IF(AND(ISNUMBER(Fleet_1GW!J27),ISNUMBER(Fleet_1GW!J28)),Fleet_1GW!J27+Fleet_1GW!J28,"SLO 不可達")</f>
        <v>2009401985.85541</v>
      </c>
      <c r="K30" s="62" t="n">
        <f aca="false">IF(AND(ISNUMBER(Fleet_1GW!K27),ISNUMBER(Fleet_1GW!K28)),Fleet_1GW!K27+Fleet_1GW!K28,"SLO 不可達")</f>
        <v>2009401985.85541</v>
      </c>
      <c r="L30" s="62" t="n">
        <f aca="false">IF(AND(ISNUMBER(Fleet_1GW!L27),ISNUMBER(Fleet_1GW!L28)),Fleet_1GW!L27+Fleet_1GW!L28,"SLO 不可達")</f>
        <v>3727569956.12573</v>
      </c>
      <c r="M30" s="62" t="n">
        <f aca="false">IF(AND(ISNUMBER(Fleet_1GW!M27),ISNUMBER(Fleet_1GW!M28)),Fleet_1GW!M27+Fleet_1GW!M28,"SLO 不可達")</f>
        <v>3727569956.12573</v>
      </c>
      <c r="N30" s="62" t="n">
        <f aca="false">IF(AND(ISNUMBER(Fleet_1GW!N27),ISNUMBER(Fleet_1GW!N28)),Fleet_1GW!N27+Fleet_1GW!N28,"SLO 不可達")</f>
        <v>3727569956.12573</v>
      </c>
      <c r="O30" s="62" t="n">
        <f aca="false">IF(AND(ISNUMBER(Fleet_1GW!O27),ISNUMBER(Fleet_1GW!O28)),Fleet_1GW!O27+Fleet_1GW!O28,"SLO 不可達")</f>
        <v>5273255857.1384</v>
      </c>
      <c r="P30" s="62" t="n">
        <f aca="false">IF(AND(ISNUMBER(Fleet_1GW!P27),ISNUMBER(Fleet_1GW!P28)),Fleet_1GW!P27+Fleet_1GW!P28,"SLO 不可達")</f>
        <v>5273255857.1384</v>
      </c>
      <c r="Q30" s="62" t="n">
        <f aca="false">IF(AND(ISNUMBER(Fleet_1GW!Q27),ISNUMBER(Fleet_1GW!Q28)),Fleet_1GW!Q27+Fleet_1GW!Q28,"SLO 不可達")</f>
        <v>5273255857.1384</v>
      </c>
    </row>
    <row r="31" customFormat="false" ht="29.85" hidden="false" customHeight="false" outlineLevel="0" collapsed="false">
      <c r="A31" s="5" t="s">
        <v>1784</v>
      </c>
      <c r="B31" s="61" t="s">
        <v>1785</v>
      </c>
      <c r="C31" s="62" t="str">
        <f aca="false">IF(ISNUMBER(Fleet_1GW!C27),Fleet_1GW!C27*INDEX(B4_Life,1,3)/12,"SLO 不可達")</f>
        <v>SLO 不可達</v>
      </c>
      <c r="D31" s="62" t="str">
        <f aca="false">IF(ISNUMBER(Fleet_1GW!D27),Fleet_1GW!D27*INDEX(B4_Life,1,3)/12,"SLO 不可達")</f>
        <v>SLO 不可達</v>
      </c>
      <c r="E31" s="62" t="str">
        <f aca="false">IF(ISNUMBER(Fleet_1GW!E27),Fleet_1GW!E27*INDEX(B4_Life,1,3)/12,"SLO 不可達")</f>
        <v>SLO 不可達</v>
      </c>
      <c r="F31" s="62" t="n">
        <f aca="false">IF(ISNUMBER(Fleet_1GW!F27),Fleet_1GW!F27*INDEX(B4_Life,1,3)/12,"SLO 不可達")</f>
        <v>1157582792.29023</v>
      </c>
      <c r="G31" s="62" t="n">
        <f aca="false">IF(ISNUMBER(Fleet_1GW!G27),Fleet_1GW!G27*INDEX(B4_Life,1,3)/12,"SLO 不可達")</f>
        <v>1157582792.29023</v>
      </c>
      <c r="H31" s="62" t="n">
        <f aca="false">IF(ISNUMBER(Fleet_1GW!H27),Fleet_1GW!H27*INDEX(B4_Life,1,3)/12,"SLO 不可達")</f>
        <v>1157582792.29023</v>
      </c>
      <c r="I31" s="62" t="n">
        <f aca="false">IF(ISNUMBER(Fleet_1GW!I27),Fleet_1GW!I27*INDEX(B4_Life,1,3)/12,"SLO 不可達")</f>
        <v>1507051489.39156</v>
      </c>
      <c r="J31" s="62" t="n">
        <f aca="false">IF(ISNUMBER(Fleet_1GW!J27),Fleet_1GW!J27*INDEX(B4_Life,1,3)/12,"SLO 不可達")</f>
        <v>1507051489.39156</v>
      </c>
      <c r="K31" s="62" t="n">
        <f aca="false">IF(ISNUMBER(Fleet_1GW!K27),Fleet_1GW!K27*INDEX(B4_Life,1,3)/12,"SLO 不可達")</f>
        <v>1507051489.39156</v>
      </c>
      <c r="L31" s="62" t="n">
        <f aca="false">IF(ISNUMBER(Fleet_1GW!L27),Fleet_1GW!L27*INDEX(B4_Life,1,3)/12,"SLO 不可達")</f>
        <v>2795677467.0943</v>
      </c>
      <c r="M31" s="62" t="n">
        <f aca="false">IF(ISNUMBER(Fleet_1GW!M27),Fleet_1GW!M27*INDEX(B4_Life,1,3)/12,"SLO 不可達")</f>
        <v>2795677467.0943</v>
      </c>
      <c r="N31" s="62" t="n">
        <f aca="false">IF(ISNUMBER(Fleet_1GW!N27),Fleet_1GW!N27*INDEX(B4_Life,1,3)/12,"SLO 不可達")</f>
        <v>2795677467.0943</v>
      </c>
      <c r="O31" s="62" t="n">
        <f aca="false">IF(ISNUMBER(Fleet_1GW!O27),Fleet_1GW!O27*INDEX(B4_Life,1,3)/12,"SLO 不可達")</f>
        <v>3954941892.8538</v>
      </c>
      <c r="P31" s="62" t="n">
        <f aca="false">IF(ISNUMBER(Fleet_1GW!P27),Fleet_1GW!P27*INDEX(B4_Life,1,3)/12,"SLO 不可達")</f>
        <v>3954941892.8538</v>
      </c>
      <c r="Q31" s="62" t="n">
        <f aca="false">IF(ISNUMBER(Fleet_1GW!Q27),Fleet_1GW!Q27*INDEX(B4_Life,1,3)/12,"SLO 不可達")</f>
        <v>3954941892.8538</v>
      </c>
    </row>
    <row r="32" customFormat="false" ht="26.85" hidden="false" customHeight="false" outlineLevel="0" collapsed="false">
      <c r="A32" s="5" t="s">
        <v>1793</v>
      </c>
      <c r="B32" s="61" t="s">
        <v>807</v>
      </c>
      <c r="C32" s="157" t="str">
        <f aca="false">IF(AND(ISNUMBER(C31),ISNUMBER(C29)),IF(C31&gt;0,C29*1000000/C31,0),"SLO 不可達")</f>
        <v>SLO 不可達</v>
      </c>
      <c r="D32" s="157" t="str">
        <f aca="false">IF(AND(ISNUMBER(D31),ISNUMBER(D29)),IF(D31&gt;0,D29*1000000/D31,0),"SLO 不可達")</f>
        <v>SLO 不可達</v>
      </c>
      <c r="E32" s="157" t="str">
        <f aca="false">IF(AND(ISNUMBER(E31),ISNUMBER(E29)),IF(E31&gt;0,E29*1000000/E31,0),"SLO 不可達")</f>
        <v>SLO 不可達</v>
      </c>
      <c r="F32" s="157" t="n">
        <f aca="false">IF(AND(ISNUMBER(F31),ISNUMBER(F29)),IF(F31&gt;0,F29*1000000/F31,0),"SLO 不可達")</f>
        <v>0.402092994157101</v>
      </c>
      <c r="G32" s="157" t="n">
        <f aca="false">IF(AND(ISNUMBER(G31),ISNUMBER(G29)),IF(G31&gt;0,G29*1000000/G31,0),"SLO 不可達")</f>
        <v>0.536878729995042</v>
      </c>
      <c r="H32" s="157" t="n">
        <f aca="false">IF(AND(ISNUMBER(H31),ISNUMBER(H29)),IF(H31&gt;0,H29*1000000/H31,0),"SLO 不可達")</f>
        <v>0.870774140991408</v>
      </c>
      <c r="I32" s="157" t="n">
        <f aca="false">IF(AND(ISNUMBER(I31),ISNUMBER(I29)),IF(I31&gt;0,I29*1000000/I31,0),"SLO 不可達")</f>
        <v>0.366823042465288</v>
      </c>
      <c r="J32" s="157" t="n">
        <f aca="false">IF(AND(ISNUMBER(J31),ISNUMBER(J29)),IF(J31&gt;0,J29*1000000/J31,0),"SLO 不可達")</f>
        <v>0.473773187703846</v>
      </c>
      <c r="K32" s="157" t="n">
        <f aca="false">IF(AND(ISNUMBER(K31),ISNUMBER(K29)),IF(K31&gt;0,K29*1000000/K31,0),"SLO 不可達")</f>
        <v>0.806621951138076</v>
      </c>
      <c r="L32" s="157" t="n">
        <f aca="false">IF(AND(ISNUMBER(L31),ISNUMBER(L29)),IF(L31&gt;0,L29*1000000/L31,0),"SLO 不可達")</f>
        <v>0.136157625325142</v>
      </c>
      <c r="M32" s="157" t="n">
        <f aca="false">IF(AND(ISNUMBER(M31),ISNUMBER(M29)),IF(M31&gt;0,M29*1000000/M31,0),"SLO 不可達")</f>
        <v>0.174997649273883</v>
      </c>
      <c r="N32" s="157" t="n">
        <f aca="false">IF(AND(ISNUMBER(N31),ISNUMBER(N29)),IF(N31&gt;0,N29*1000000/N31,0),"SLO 不可達")</f>
        <v>0.282714121488067</v>
      </c>
      <c r="O32" s="157" t="n">
        <f aca="false">IF(AND(ISNUMBER(O31),ISNUMBER(O29)),IF(O31&gt;0,O29*1000000/O31,0),"SLO 不可達")</f>
        <v>0.0696087421755187</v>
      </c>
      <c r="P32" s="157" t="n">
        <f aca="false">IF(AND(ISNUMBER(P31),ISNUMBER(P29)),IF(P31&gt;0,P29*1000000/P31,0),"SLO 不可達")</f>
        <v>0.105795743635128</v>
      </c>
      <c r="Q32" s="157" t="n">
        <f aca="false">IF(AND(ISNUMBER(Q31),ISNUMBER(Q29)),IF(Q31&gt;0,Q29*1000000/Q31,0),"SLO 不可達")</f>
        <v>0.193134517948015</v>
      </c>
    </row>
    <row r="33" customFormat="false" ht="15" hidden="false" customHeight="false" outlineLevel="0" collapsed="false">
      <c r="A33" s="5" t="s">
        <v>1787</v>
      </c>
      <c r="B33" s="61" t="s">
        <v>807</v>
      </c>
      <c r="C33" s="158" t="str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SLO 不可達</v>
      </c>
      <c r="D33" s="158" t="str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SLO 不可達</v>
      </c>
      <c r="E33" s="158" t="str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SLO 不可達</v>
      </c>
      <c r="F33" s="15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5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5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5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5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5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5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5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5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5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5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5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1794</v>
      </c>
      <c r="B34" s="61" t="s">
        <v>807</v>
      </c>
      <c r="C34" s="159" t="str">
        <f aca="false">IF(ISNUMBER(C33),Fleet_1GW!C13/(1-Fleet_1GW!C13)*C33,"SLO 不可達")</f>
        <v>SLO 不可達</v>
      </c>
      <c r="D34" s="159" t="str">
        <f aca="false">IF(ISNUMBER(D33),Fleet_1GW!D13/(1-Fleet_1GW!D13)*D33,"SLO 不可達")</f>
        <v>SLO 不可達</v>
      </c>
      <c r="E34" s="159" t="str">
        <f aca="false">IF(ISNUMBER(E33),Fleet_1GW!E13/(1-Fleet_1GW!E13)*E33,"SLO 不可達")</f>
        <v>SLO 不可達</v>
      </c>
      <c r="F34" s="159" t="n">
        <f aca="false">IF(ISNUMBER(F33),Fleet_1GW!F13/(1-Fleet_1GW!F13)*F33,"SLO 不可達")</f>
        <v>0.719884900727599</v>
      </c>
      <c r="G34" s="159" t="n">
        <f aca="false">IF(ISNUMBER(G33),Fleet_1GW!G13/(1-Fleet_1GW!G13)*G33,"SLO 不可達")</f>
        <v>0.961090090684005</v>
      </c>
      <c r="H34" s="159" t="n">
        <f aca="false">IF(ISNUMBER(H33),Fleet_1GW!H13/(1-Fleet_1GW!H13)*H33,"SLO 不可達")</f>
        <v>1.55861107860059</v>
      </c>
      <c r="I34" s="159" t="n">
        <f aca="false">IF(ISNUMBER(I33),Fleet_1GW!I13/(1-Fleet_1GW!I13)*I33,"SLO 不可達")</f>
        <v>0.771872419196334</v>
      </c>
      <c r="J34" s="159" t="n">
        <f aca="false">IF(ISNUMBER(J33),Fleet_1GW!J13/(1-Fleet_1GW!J13)*J33,"SLO 不可達")</f>
        <v>0.996824237261942</v>
      </c>
      <c r="K34" s="159" t="n">
        <f aca="false">IF(ISNUMBER(K33),Fleet_1GW!K13/(1-Fleet_1GW!K13)*K33,"SLO 不可達")</f>
        <v>1.69691617550482</v>
      </c>
      <c r="L34" s="159" t="n">
        <f aca="false">IF(ISNUMBER(L33),Fleet_1GW!L13/(1-Fleet_1GW!L13)*L33,"SLO 不可達")</f>
        <v>0.396015125991253</v>
      </c>
      <c r="M34" s="159" t="n">
        <f aca="false">IF(ISNUMBER(M33),Fleet_1GW!M13/(1-Fleet_1GW!M13)*M33,"SLO 不可達")</f>
        <v>0.508889890366036</v>
      </c>
      <c r="N34" s="159" t="n">
        <f aca="false">IF(ISNUMBER(N33),Fleet_1GW!N13/(1-Fleet_1GW!N13)*N33,"SLO 不可達")</f>
        <v>0.821929641229864</v>
      </c>
      <c r="O34" s="159" t="n">
        <f aca="false">IF(ISNUMBER(O33),Fleet_1GW!O13/(1-Fleet_1GW!O13)*O33,"SLO 不可達")</f>
        <v>0.286637340360856</v>
      </c>
      <c r="P34" s="159" t="n">
        <f aca="false">IF(ISNUMBER(P33),Fleet_1GW!P13/(1-Fleet_1GW!P13)*P33,"SLO 不可達")</f>
        <v>0.435482452267704</v>
      </c>
      <c r="Q34" s="159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1789</v>
      </c>
      <c r="B35" s="61" t="s">
        <v>103</v>
      </c>
      <c r="C35" s="74" t="str">
        <f aca="false">IF(AND(ISNUMBER(C32),ISNUMBER(C34)),IF(C32&gt;0,C34/C32,0),"SLO 不可達")</f>
        <v>SLO 不可達</v>
      </c>
      <c r="D35" s="74" t="str">
        <f aca="false">IF(AND(ISNUMBER(D32),ISNUMBER(D34)),IF(D32&gt;0,D34/D32,0),"SLO 不可達")</f>
        <v>SLO 不可達</v>
      </c>
      <c r="E35" s="74" t="str">
        <f aca="false">IF(AND(ISNUMBER(E32),ISNUMBER(E34)),IF(E32&gt;0,E34/E32,0),"SLO 不可達")</f>
        <v>SLO 不可達</v>
      </c>
      <c r="F35" s="74" t="n">
        <f aca="false">IF(AND(ISNUMBER(F32),ISNUMBER(F34)),IF(F32&gt;0,F34/F32,0),"SLO 不可達")</f>
        <v>1.79034430141385</v>
      </c>
      <c r="G35" s="74" t="n">
        <f aca="false">IF(AND(ISNUMBER(G32),ISNUMBER(G34)),IF(G32&gt;0,G34/G32,0),"SLO 不可達")</f>
        <v>1.79014372704406</v>
      </c>
      <c r="H35" s="74" t="n">
        <f aca="false">IF(AND(ISNUMBER(H32),ISNUMBER(H34)),IF(H32&gt;0,H34/H32,0),"SLO 不可達")</f>
        <v>1.78991429031879</v>
      </c>
      <c r="I35" s="74" t="n">
        <f aca="false">IF(AND(ISNUMBER(I32),ISNUMBER(I34)),IF(I32&gt;0,I34/I32,0),"SLO 不可達")</f>
        <v>2.10420919582601</v>
      </c>
      <c r="J35" s="74" t="n">
        <f aca="false">IF(AND(ISNUMBER(J32),ISNUMBER(J34)),IF(J32&gt;0,J34/J32,0),"SLO 不可達")</f>
        <v>2.10401150409772</v>
      </c>
      <c r="K35" s="74" t="n">
        <f aca="false">IF(AND(ISNUMBER(K32),ISNUMBER(K34)),IF(K32&gt;0,K34/K32,0),"SLO 不可達")</f>
        <v>2.10373170865312</v>
      </c>
      <c r="L35" s="74" t="n">
        <f aca="false">IF(AND(ISNUMBER(L32),ISNUMBER(L34)),IF(L32&gt;0,L34/L32,0),"SLO 不可達")</f>
        <v>2.90850494084026</v>
      </c>
      <c r="M35" s="74" t="n">
        <f aca="false">IF(AND(ISNUMBER(M32),ISNUMBER(M34)),IF(M32&gt;0,M34/M32,0),"SLO 不可達")</f>
        <v>2.90798129276348</v>
      </c>
      <c r="N35" s="74" t="n">
        <f aca="false">IF(AND(ISNUMBER(N32),ISNUMBER(N34)),IF(N32&gt;0,N34/N32,0),"SLO 不可達")</f>
        <v>2.90728187507449</v>
      </c>
      <c r="O35" s="74" t="n">
        <f aca="false">IF(AND(ISNUMBER(O32),ISNUMBER(O34)),IF(O32&gt;0,O34/O32,0),"SLO 不可達")</f>
        <v>4.11783536668568</v>
      </c>
      <c r="P35" s="74" t="n">
        <f aca="false">IF(AND(ISNUMBER(P32),ISNUMBER(P34)),IF(P32&gt;0,P34/P32,0),"SLO 不可達")</f>
        <v>4.11625682947711</v>
      </c>
      <c r="Q35" s="74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1792</v>
      </c>
      <c r="B36" s="61" t="s">
        <v>99</v>
      </c>
      <c r="C36" s="160" t="str">
        <f aca="false">IF(ISNUMBER(C32),C32/(INDEX(B4_EffRef,1,3)-INDEX(B4_EffRef,1,2)),"SLO 不可達")</f>
        <v>SLO 不可達</v>
      </c>
      <c r="D36" s="160" t="str">
        <f aca="false">IF(ISNUMBER(D32),D32/(INDEX(B4_EffRef,1,3)-INDEX(B4_EffRef,1,2)),"SLO 不可達")</f>
        <v>SLO 不可達</v>
      </c>
      <c r="E36" s="160" t="str">
        <f aca="false">IF(ISNUMBER(E32),E32/(INDEX(B4_EffRef,1,3)-INDEX(B4_EffRef,1,2)),"SLO 不可達")</f>
        <v>SLO 不可達</v>
      </c>
      <c r="F36" s="160" t="n">
        <f aca="false">IF(ISNUMBER(F32),F32/(INDEX(B4_EffRef,1,3)-INDEX(B4_EffRef,1,2)),"SLO 不可達")</f>
        <v>0.062549034627591</v>
      </c>
      <c r="G36" s="160" t="n">
        <f aca="false">IF(ISNUMBER(G32),G32/(INDEX(B4_EffRef,1,3)-INDEX(B4_EffRef,1,2)),"SLO 不可達")</f>
        <v>0.0835161188114522</v>
      </c>
      <c r="H36" s="160" t="n">
        <f aca="false">IF(ISNUMBER(H32),H32/(INDEX(B4_EffRef,1,3)-INDEX(B4_EffRef,1,2)),"SLO 不可達")</f>
        <v>0.135456430947917</v>
      </c>
      <c r="I36" s="160" t="n">
        <f aca="false">IF(ISNUMBER(I32),I32/(INDEX(B4_EffRef,1,3)-INDEX(B4_EffRef,1,2)),"SLO 不可達")</f>
        <v>0.0570624893215499</v>
      </c>
      <c r="J36" s="160" t="n">
        <f aca="false">IF(ISNUMBER(J32),J32/(INDEX(B4_EffRef,1,3)-INDEX(B4_EffRef,1,2)),"SLO 不可達")</f>
        <v>0.0736995072133334</v>
      </c>
      <c r="K36" s="160" t="n">
        <f aca="false">IF(ISNUMBER(K32),K32/(INDEX(B4_EffRef,1,3)-INDEX(B4_EffRef,1,2)),"SLO 不可達")</f>
        <v>0.125477004290699</v>
      </c>
      <c r="L36" s="160" t="n">
        <f aca="false">IF(ISNUMBER(L32),L32/(INDEX(B4_EffRef,1,3)-INDEX(B4_EffRef,1,2)),"SLO 不可達")</f>
        <v>0.0211804934306948</v>
      </c>
      <c r="M36" s="160" t="n">
        <f aca="false">IF(ISNUMBER(M32),M32/(INDEX(B4_EffRef,1,3)-INDEX(B4_EffRef,1,2)),"SLO 不可達")</f>
        <v>0.0272223942800219</v>
      </c>
      <c r="N36" s="160" t="n">
        <f aca="false">IF(ISNUMBER(N32),N32/(INDEX(B4_EffRef,1,3)-INDEX(B4_EffRef,1,2)),"SLO 不可達")</f>
        <v>0.0439786209449772</v>
      </c>
      <c r="O36" s="160" t="n">
        <f aca="false">IF(ISNUMBER(O32),O32/(INDEX(B4_EffRef,1,3)-INDEX(B4_EffRef,1,2)),"SLO 不可達")</f>
        <v>0.0108282404518057</v>
      </c>
      <c r="P36" s="160" t="n">
        <f aca="false">IF(ISNUMBER(P32),P32/(INDEX(B4_EffRef,1,3)-INDEX(B4_EffRef,1,2)),"SLO 不可達")</f>
        <v>0.0164574407618251</v>
      </c>
      <c r="Q36" s="160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5" t="s">
        <v>1795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customFormat="false" ht="15" hidden="false" customHeight="false" outlineLevel="0" collapsed="false">
      <c r="A39" s="5" t="s">
        <v>1796</v>
      </c>
      <c r="B39" s="61" t="s">
        <v>1797</v>
      </c>
      <c r="C39" s="74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3289.42383899847</v>
      </c>
      <c r="D39" s="74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4699.85784427256</v>
      </c>
      <c r="E39" s="74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8071.26602885283</v>
      </c>
      <c r="F39" s="74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3410.05313357571</v>
      </c>
      <c r="G39" s="74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4552.73737438593</v>
      </c>
      <c r="H39" s="74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7383.43026523558</v>
      </c>
      <c r="I39" s="74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4379.86108783115</v>
      </c>
      <c r="J39" s="74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5656.36616281199</v>
      </c>
      <c r="K39" s="74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9629.08760958671</v>
      </c>
      <c r="L39" s="74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4822.92080993268</v>
      </c>
      <c r="M39" s="74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6197.9097072082</v>
      </c>
      <c r="N39" s="74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10011.2171743626</v>
      </c>
      <c r="O39" s="74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5097.49382665096</v>
      </c>
      <c r="P39" s="74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7745.49746008591</v>
      </c>
      <c r="Q39" s="74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14136.5600624521</v>
      </c>
    </row>
    <row r="40" customFormat="false" ht="29.85" hidden="false" customHeight="false" outlineLevel="0" collapsed="false">
      <c r="A40" s="5" t="s">
        <v>1798</v>
      </c>
      <c r="B40" s="61" t="s">
        <v>1797</v>
      </c>
      <c r="C40" s="74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237.902871104004</v>
      </c>
      <c r="D40" s="74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339.91561598131</v>
      </c>
      <c r="E40" s="74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583.760135983516</v>
      </c>
      <c r="F40" s="74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719.671743917585</v>
      </c>
      <c r="G40" s="74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960.913165616683</v>
      </c>
      <c r="H40" s="74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1558.52390793155</v>
      </c>
      <c r="I40" s="74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4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4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4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4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4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4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4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4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1799</v>
      </c>
      <c r="B41" s="61" t="s">
        <v>103</v>
      </c>
      <c r="C41" s="104" t="n">
        <f aca="false">IF(ISNUMBER(C39),IF(C40&gt;0,C39/C40,0),"SLO 不可達")</f>
        <v>13.82675132811</v>
      </c>
      <c r="D41" s="104" t="n">
        <f aca="false">IF(ISNUMBER(D39),IF(D40&gt;0,D39/D40,0),"SLO 不可達")</f>
        <v>13.8265428927248</v>
      </c>
      <c r="E41" s="104" t="n">
        <f aca="false">IF(ISNUMBER(E39),IF(E40&gt;0,E39/E40,0),"SLO 不可達")</f>
        <v>13.8263398463384</v>
      </c>
      <c r="F41" s="104" t="n">
        <f aca="false">IF(ISNUMBER(F39),IF(F40&gt;0,F39/F40,0),"SLO 不可達")</f>
        <v>4.73834517249884</v>
      </c>
      <c r="G41" s="104" t="n">
        <f aca="false">IF(ISNUMBER(G39),IF(G40&gt;0,G39/G40,0),"SLO 不可達")</f>
        <v>4.73792798068713</v>
      </c>
      <c r="H41" s="104" t="n">
        <f aca="false">IF(ISNUMBER(H39),IF(H40&gt;0,H39/H40,0),"SLO 不可達")</f>
        <v>4.7374507555901</v>
      </c>
      <c r="I41" s="104" t="n">
        <f aca="false">IF(ISNUMBER(I39),IF(I40&gt;0,I39/I40,0),"SLO 不可達")</f>
        <v>5.144550210331</v>
      </c>
      <c r="J41" s="104" t="n">
        <f aca="false">IF(ISNUMBER(J39),IF(J40&gt;0,J39/J40,0),"SLO 不可達")</f>
        <v>5.14411559126848</v>
      </c>
      <c r="K41" s="104" t="n">
        <f aca="false">IF(ISNUMBER(K39),IF(K40&gt;0,K39/K40,0),"SLO 不可達")</f>
        <v>5.14350046976148</v>
      </c>
      <c r="L41" s="104" t="n">
        <f aca="false">IF(ISNUMBER(L39),IF(L40&gt;0,L39/L40,0),"SLO 不可達")</f>
        <v>8.18022201676555</v>
      </c>
      <c r="M41" s="104" t="n">
        <f aca="false">IF(ISNUMBER(M39),IF(M40&gt;0,M39/M40,0),"SLO 不可達")</f>
        <v>8.17918362593439</v>
      </c>
      <c r="N41" s="104" t="n">
        <f aca="false">IF(ISNUMBER(N39),IF(N40&gt;0,N39/N40,0),"SLO 不可達")</f>
        <v>8.17779668507163</v>
      </c>
      <c r="O41" s="104" t="n">
        <f aca="false">IF(ISNUMBER(O39),IF(O40&gt;0,O39/O40,0),"SLO 不可達")</f>
        <v>11.9926175046571</v>
      </c>
      <c r="P41" s="104" t="n">
        <f aca="false">IF(ISNUMBER(P39),IF(P40&gt;0,P39/P40,0),"SLO 不可達")</f>
        <v>11.9895305984863</v>
      </c>
      <c r="Q41" s="104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1800</v>
      </c>
      <c r="B42" s="61" t="s">
        <v>1797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3296.0508875899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3296.0508875899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3296.0508875899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20174.6158611128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20174.6158611128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20174.6158611128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26265.2356996766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26265.2356996766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26265.2356996766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48723.7019639935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48723.7019639935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48723.7019639935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68927.6257152094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68927.6257152094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68927.6257152094</v>
      </c>
    </row>
    <row r="43" customFormat="false" ht="29.85" hidden="false" customHeight="false" outlineLevel="0" collapsed="false">
      <c r="A43" s="6" t="s">
        <v>1801</v>
      </c>
      <c r="B43" s="61" t="s">
        <v>807</v>
      </c>
      <c r="C43" s="157" t="n">
        <f aca="false">IF(AND(ISNUMBER(C13),ISNUMBER(C41)),C13*C41,"SLO 不可達")</f>
        <v>0.49892092577848</v>
      </c>
      <c r="D43" s="157" t="n">
        <f aca="false">IF(AND(ISNUMBER(D13),ISNUMBER(D41)),D13*D41,"SLO 不可達")</f>
        <v>0.712847459452246</v>
      </c>
      <c r="E43" s="157" t="n">
        <f aca="false">IF(AND(ISNUMBER(E13),ISNUMBER(E41)),E13*E41,"SLO 不可達")</f>
        <v>1.22420330015779</v>
      </c>
      <c r="F43" s="157" t="n">
        <f aca="false">IF(AND(ISNUMBER(F13),ISNUMBER(F41)),F13*F41,"SLO 不可達")</f>
        <v>0.0288129876646739</v>
      </c>
      <c r="G43" s="157" t="n">
        <f aca="false">IF(AND(ISNUMBER(G13),ISNUMBER(G41)),G13*G41,"SLO 不可達")</f>
        <v>0.0384680122773135</v>
      </c>
      <c r="H43" s="157" t="n">
        <f aca="false">IF(AND(ISNUMBER(H13),ISNUMBER(H41)),H13*H41,"SLO 不可達")</f>
        <v>0.0623857391137304</v>
      </c>
      <c r="I43" s="157" t="n">
        <f aca="false">IF(AND(ISNUMBER(I13),ISNUMBER(I41)),I13*I41,"SLO 不可達")</f>
        <v>0.0269396532202824</v>
      </c>
      <c r="J43" s="157" t="n">
        <f aca="false">IF(AND(ISNUMBER(J13),ISNUMBER(J41)),J13*J41,"SLO 不可達")</f>
        <v>0.0347911816967125</v>
      </c>
      <c r="K43" s="157" t="n">
        <f aca="false">IF(AND(ISNUMBER(K13),ISNUMBER(K41)),K13*K41,"SLO 不可達")</f>
        <v>0.0592266000743046</v>
      </c>
      <c r="L43" s="157" t="n">
        <f aca="false">IF(AND(ISNUMBER(L13),ISNUMBER(L41)),L13*L41,"SLO 不可達")</f>
        <v>0.0172553760286319</v>
      </c>
      <c r="M43" s="157" t="n">
        <f aca="false">IF(AND(ISNUMBER(M13),ISNUMBER(M41)),M13*M41,"SLO 不可達")</f>
        <v>0.0221747913358084</v>
      </c>
      <c r="N43" s="157" t="n">
        <f aca="false">IF(AND(ISNUMBER(N13),ISNUMBER(N41)),N13*N41,"SLO 不可達")</f>
        <v>0.0358179874096534</v>
      </c>
      <c r="O43" s="157" t="n">
        <f aca="false">IF(AND(ISNUMBER(O13),ISNUMBER(O41)),O13*O41,"SLO 不可達")</f>
        <v>0.0123245031760871</v>
      </c>
      <c r="P43" s="157" t="n">
        <f aca="false">IF(AND(ISNUMBER(P13),ISNUMBER(P41)),P13*P41,"SLO 不可達")</f>
        <v>0.0187267334289093</v>
      </c>
      <c r="Q43" s="157" t="n">
        <f aca="false">IF(AND(ISNUMBER(Q13),ISNUMBER(Q41)),Q13*Q41,"SLO 不可達")</f>
        <v>0.0341787720227811</v>
      </c>
    </row>
    <row r="44" customFormat="false" ht="26.85" hidden="false" customHeight="false" outlineLevel="0" collapsed="false">
      <c r="A44" s="6" t="s">
        <v>1802</v>
      </c>
      <c r="B44" s="61" t="s">
        <v>807</v>
      </c>
      <c r="C44" s="161" t="n">
        <f aca="false">IF(AND(ISNUMBER(C42),ISNUMBER(C11)),IF(AND(C42&gt;0,C11&gt;0),C39*(Fleet_1GW!C21*INDEX(B4_EffRef,1,1)/1000000/C42)*1000000/C11,0),"SLO 不可達")</f>
        <v>0.020031479971004</v>
      </c>
      <c r="D44" s="161" t="n">
        <f aca="false">IF(AND(ISNUMBER(D42),ISNUMBER(D11)),IF(AND(D42&gt;0,D11&gt;0),D39*(Fleet_1GW!D21*INDEX(B4_EffRef,1,1)/1000000/D42)*1000000/D11,0),"SLO 不可達")</f>
        <v>0.0286205466008832</v>
      </c>
      <c r="E44" s="161" t="n">
        <f aca="false">IF(AND(ISNUMBER(E42),ISNUMBER(E11)),IF(AND(E42&gt;0,E11&gt;0),E39*(Fleet_1GW!E21*INDEX(B4_EffRef,1,1)/1000000/E42)*1000000/E11,0),"SLO 不可達")</f>
        <v>0.0491512835411435</v>
      </c>
      <c r="F44" s="161" t="n">
        <f aca="false">IF(AND(ISNUMBER(F42),ISNUMBER(F11)),IF(AND(F42&gt;0,F11&gt;0),F39*(Fleet_1GW!F21*INDEX(B4_EffRef,1,1)/1000000/F42)*1000000/F11,0),"SLO 不可達")</f>
        <v>0.00165965019412098</v>
      </c>
      <c r="G44" s="161" t="n">
        <f aca="false">IF(AND(ISNUMBER(G42),ISNUMBER(G11)),IF(AND(G42&gt;0,G11&gt;0),G39*(Fleet_1GW!G21*INDEX(B4_EffRef,1,1)/1000000/G42)*1000000/G11,0),"SLO 不可達")</f>
        <v>0.00221578701891322</v>
      </c>
      <c r="H44" s="161" t="n">
        <f aca="false">IF(AND(ISNUMBER(H42),ISNUMBER(H11)),IF(AND(H42&gt;0,H11&gt;0),H39*(Fleet_1GW!H21*INDEX(B4_EffRef,1,1)/1000000/H42)*1000000/H11,0),"SLO 不可達")</f>
        <v>0.00359346643379944</v>
      </c>
      <c r="I44" s="161" t="n">
        <f aca="false">IF(AND(ISNUMBER(I42),ISNUMBER(I11)),IF(AND(I42&gt;0,I11&gt;0),I39*(Fleet_1GW!I21*INDEX(B4_EffRef,1,1)/1000000/I42)*1000000/I11,0),"SLO 不可達")</f>
        <v>0.00148333975179878</v>
      </c>
      <c r="J44" s="161" t="n">
        <f aca="false">IF(AND(ISNUMBER(J42),ISNUMBER(J11)),IF(AND(J42&gt;0,J11&gt;0),J39*(Fleet_1GW!J21*INDEX(B4_EffRef,1,1)/1000000/J42)*1000000/J11,0),"SLO 不可達")</f>
        <v>0.00191565728039637</v>
      </c>
      <c r="K44" s="161" t="n">
        <f aca="false">IF(AND(ISNUMBER(K42),ISNUMBER(K11)),IF(AND(K42&gt;0,K11&gt;0),K39*(Fleet_1GW!K21*INDEX(B4_EffRef,1,1)/1000000/K42)*1000000/K11,0),"SLO 不可達")</f>
        <v>0.00326110991614254</v>
      </c>
      <c r="L44" s="161" t="n">
        <f aca="false">IF(AND(ISNUMBER(L42),ISNUMBER(L11)),IF(AND(L42&gt;0,L11&gt;0),L39*(Fleet_1GW!L21*INDEX(B4_EffRef,1,1)/1000000/L42)*1000000/L11,0),"SLO 不可達")</f>
        <v>0.00106624342241572</v>
      </c>
      <c r="M44" s="161" t="n">
        <f aca="false">IF(AND(ISNUMBER(M42),ISNUMBER(M11)),IF(AND(M42&gt;0,M11&gt;0),M39*(Fleet_1GW!M21*INDEX(B4_EffRef,1,1)/1000000/M42)*1000000/M11,0),"SLO 不可達")</f>
        <v>0.00137022371265712</v>
      </c>
      <c r="N44" s="161" t="n">
        <f aca="false">IF(AND(ISNUMBER(N42),ISNUMBER(N11)),IF(AND(N42&gt;0,N11&gt;0),N39*(Fleet_1GW!N21*INDEX(B4_EffRef,1,1)/1000000/N42)*1000000/N11,0),"SLO 不可達")</f>
        <v>0.00221326347315422</v>
      </c>
      <c r="O44" s="161" t="n">
        <f aca="false">IF(AND(ISNUMBER(O42),ISNUMBER(O11)),IF(AND(O42&gt;0,O11&gt;0),O39*(Fleet_1GW!O21*INDEX(B4_EffRef,1,1)/1000000/O42)*1000000/O11,0),"SLO 不可達")</f>
        <v>0.000825482567485671</v>
      </c>
      <c r="P44" s="161" t="n">
        <f aca="false">IF(AND(ISNUMBER(P42),ISNUMBER(P11)),IF(AND(P42&gt;0,P11&gt;0),P39*(Fleet_1GW!P21*INDEX(B4_EffRef,1,1)/1000000/P42)*1000000/P11,0),"SLO 不可達")</f>
        <v>0.00125429737577655</v>
      </c>
      <c r="Q44" s="161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1803</v>
      </c>
      <c r="B45" s="61" t="s">
        <v>807</v>
      </c>
      <c r="C45" s="157" t="n">
        <f aca="false">IF(AND(ISNUMBER(C22),ISNUMBER(C41)),C22*C41,"SLO 不可達")</f>
        <v>1.23167813077865</v>
      </c>
      <c r="D45" s="157" t="n">
        <f aca="false">IF(AND(ISNUMBER(D22),ISNUMBER(D41)),D22*D41,"SLO 不可達")</f>
        <v>1.75979515194415</v>
      </c>
      <c r="E45" s="157" t="n">
        <f aca="false">IF(AND(ISNUMBER(E22),ISNUMBER(E41)),E22*E41,"SLO 不可達")</f>
        <v>3.02217115884388</v>
      </c>
      <c r="F45" s="157" t="n">
        <f aca="false">IF(AND(ISNUMBER(F22),ISNUMBER(F41)),F22*F41,"SLO 不可達")</f>
        <v>0.0757632020397096</v>
      </c>
      <c r="G45" s="157" t="n">
        <f aca="false">IF(AND(ISNUMBER(G22),ISNUMBER(G41)),G22*G41,"SLO 不可達")</f>
        <v>0.101150905284473</v>
      </c>
      <c r="H45" s="157" t="n">
        <f aca="false">IF(AND(ISNUMBER(H22),ISNUMBER(H41)),H22*H41,"SLO 不可達")</f>
        <v>0.164042112254299</v>
      </c>
      <c r="I45" s="157" t="n">
        <f aca="false">IF(AND(ISNUMBER(I22),ISNUMBER(I41)),I22*I41,"SLO 不可達")</f>
        <v>0.0735684099853945</v>
      </c>
      <c r="J45" s="157" t="n">
        <f aca="false">IF(AND(ISNUMBER(J22),ISNUMBER(J41)),J22*J41,"SLO 不可達")</f>
        <v>0.0950098317157649</v>
      </c>
      <c r="K45" s="157" t="n">
        <f aca="false">IF(AND(ISNUMBER(K22),ISNUMBER(K41)),K22*K41,"SLO 不可達")</f>
        <v>0.161739527999082</v>
      </c>
      <c r="L45" s="157" t="n">
        <f aca="false">IF(AND(ISNUMBER(L22),ISNUMBER(L41)),L22*L41,"SLO 不可達")</f>
        <v>0.0446790819458483</v>
      </c>
      <c r="M45" s="157" t="n">
        <f aca="false">IF(AND(ISNUMBER(M22),ISNUMBER(M41)),M22*M41,"SLO 不可達")</f>
        <v>0.0574168489623591</v>
      </c>
      <c r="N45" s="157" t="n">
        <f aca="false">IF(AND(ISNUMBER(N22),ISNUMBER(N41)),N22*N41,"SLO 不可達")</f>
        <v>0.0927429684497086</v>
      </c>
      <c r="O45" s="157" t="n">
        <f aca="false">IF(AND(ISNUMBER(O22),ISNUMBER(O41)),O22*O41,"SLO 不可達")</f>
        <v>0.0330042671617454</v>
      </c>
      <c r="P45" s="157" t="n">
        <f aca="false">IF(AND(ISNUMBER(P22),ISNUMBER(P41)),P22*P41,"SLO 不可達")</f>
        <v>0.0501490489575044</v>
      </c>
      <c r="Q45" s="157" t="n">
        <f aca="false">IF(AND(ISNUMBER(Q22),ISNUMBER(Q41)),Q22*Q41,"SLO 不可達")</f>
        <v>0.0915286650490684</v>
      </c>
    </row>
    <row r="46" customFormat="false" ht="26.85" hidden="false" customHeight="false" outlineLevel="0" collapsed="false">
      <c r="A46" s="6" t="s">
        <v>1804</v>
      </c>
      <c r="B46" s="61" t="s">
        <v>807</v>
      </c>
      <c r="C46" s="161" t="n">
        <f aca="false">IF(AND(ISNUMBER(C42),ISNUMBER(C20)),IF(AND(C42&gt;0,C20&gt;0),C39*(Fleet_1GW!C24*INDEX(B4_EffRef,1,2)/1000000/C42)*1000000/C20,0),"SLO 不可達")</f>
        <v>1.23695847181635</v>
      </c>
      <c r="D46" s="161" t="n">
        <f aca="false">IF(AND(ISNUMBER(D42),ISNUMBER(D20)),IF(AND(D42&gt;0,D20&gt;0),D39*(Fleet_1GW!D24*INDEX(B4_EffRef,1,2)/1000000/D42)*1000000/D20,0),"SLO 不可達")</f>
        <v>1.76733958934751</v>
      </c>
      <c r="E46" s="161" t="n">
        <f aca="false">IF(AND(ISNUMBER(E42),ISNUMBER(E20)),IF(AND(E42&gt;0,E20&gt;0),E39*(Fleet_1GW!E24*INDEX(B4_EffRef,1,2)/1000000/E42)*1000000/E20,0),"SLO 不可達")</f>
        <v>3.03512754249169</v>
      </c>
      <c r="F46" s="161" t="n">
        <f aca="false">IF(AND(ISNUMBER(F42),ISNUMBER(F20)),IF(AND(F42&gt;0,F20&gt;0),F39*(Fleet_1GW!F24*INDEX(B4_EffRef,1,2)/1000000/F42)*1000000/F20,0),"SLO 不可達")</f>
        <v>0.158902140573672</v>
      </c>
      <c r="G46" s="161" t="n">
        <f aca="false">IF(AND(ISNUMBER(G42),ISNUMBER(G20)),IF(AND(G42&gt;0,G20&gt;0),G39*(Fleet_1GW!G24*INDEX(B4_EffRef,1,2)/1000000/G42)*1000000/G20,0),"SLO 不可達")</f>
        <v>0.21214910323145</v>
      </c>
      <c r="H46" s="161" t="n">
        <f aca="false">IF(AND(ISNUMBER(H42),ISNUMBER(H20)),IF(AND(H42&gt;0,H20&gt;0),H39*(Fleet_1GW!H24*INDEX(B4_EffRef,1,2)/1000000/H42)*1000000/H20,0),"SLO 不可達")</f>
        <v>0.344054132872743</v>
      </c>
      <c r="I46" s="161" t="n">
        <f aca="false">IF(AND(ISNUMBER(I42),ISNUMBER(I20)),IF(AND(I42&gt;0,I20&gt;0),I39*(Fleet_1GW!I24*INDEX(B4_EffRef,1,2)/1000000/I42)*1000000/I20,0),"SLO 不可達")</f>
        <v>0.149431056183798</v>
      </c>
      <c r="J46" s="161" t="n">
        <f aca="false">IF(AND(ISNUMBER(J42),ISNUMBER(J20)),IF(AND(J42&gt;0,J20&gt;0),J39*(Fleet_1GW!J24*INDEX(B4_EffRef,1,2)/1000000/J42)*1000000/J20,0),"SLO 不可達")</f>
        <v>0.192982551939757</v>
      </c>
      <c r="K46" s="161" t="n">
        <f aca="false">IF(AND(ISNUMBER(K42),ISNUMBER(K20)),IF(AND(K42&gt;0,K20&gt;0),K39*(Fleet_1GW!K24*INDEX(B4_EffRef,1,2)/1000000/K42)*1000000/K20,0),"SLO 不可達")</f>
        <v>0.328522914935502</v>
      </c>
      <c r="L46" s="161" t="n">
        <f aca="false">IF(AND(ISNUMBER(L42),ISNUMBER(L20)),IF(AND(L42&gt;0,L20&gt;0),L39*(Fleet_1GW!L24*INDEX(B4_EffRef,1,2)/1000000/L42)*1000000/L20,0),"SLO 不可達")</f>
        <v>0.0971179608385562</v>
      </c>
      <c r="M46" s="161" t="n">
        <f aca="false">IF(AND(ISNUMBER(M42),ISNUMBER(M20)),IF(AND(M42&gt;0,M20&gt;0),M39*(Fleet_1GW!M24*INDEX(B4_EffRef,1,2)/1000000/M42)*1000000/M20,0),"SLO 不可達")</f>
        <v>0.124805771429192</v>
      </c>
      <c r="N46" s="161" t="n">
        <f aca="false">IF(AND(ISNUMBER(N42),ISNUMBER(N20)),IF(AND(N42&gt;0,N20&gt;0),N39*(Fleet_1GW!N24*INDEX(B4_EffRef,1,2)/1000000/N42)*1000000/N20,0),"SLO 不可達")</f>
        <v>0.201593398648318</v>
      </c>
      <c r="O46" s="161" t="n">
        <f aca="false">IF(AND(ISNUMBER(O42),ISNUMBER(O20)),IF(AND(O42&gt;0,O20&gt;0),O39*(Fleet_1GW!O24*INDEX(B4_EffRef,1,2)/1000000/O42)*1000000/O20,0),"SLO 不可達")</f>
        <v>0.0737187706076097</v>
      </c>
      <c r="P46" s="161" t="n">
        <f aca="false">IF(AND(ISNUMBER(P42),ISNUMBER(P20)),IF(AND(P42&gt;0,P20&gt;0),P39*(Fleet_1GW!P24*INDEX(B4_EffRef,1,2)/1000000/P42)*1000000/P20,0),"SLO 不可達")</f>
        <v>0.1120135835215</v>
      </c>
      <c r="Q46" s="161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1805</v>
      </c>
      <c r="B47" s="61" t="s">
        <v>807</v>
      </c>
      <c r="C47" s="157" t="str">
        <f aca="false">IF(AND(ISNUMBER(C32),ISNUMBER(C41)),C32*C41,"SLO 不可達")</f>
        <v>SLO 不可達</v>
      </c>
      <c r="D47" s="157" t="str">
        <f aca="false">IF(AND(ISNUMBER(D32),ISNUMBER(D41)),D32*D41,"SLO 不可達")</f>
        <v>SLO 不可達</v>
      </c>
      <c r="E47" s="157" t="str">
        <f aca="false">IF(AND(ISNUMBER(E32),ISNUMBER(E41)),E32*E41,"SLO 不可達")</f>
        <v>SLO 不可達</v>
      </c>
      <c r="F47" s="157" t="n">
        <f aca="false">IF(AND(ISNUMBER(F32),ISNUMBER(F41)),F32*F41,"SLO 不可達")</f>
        <v>1.9052553977599</v>
      </c>
      <c r="G47" s="157" t="n">
        <f aca="false">IF(AND(ISNUMBER(G32),ISNUMBER(G41)),G32*G41,"SLO 不可達")</f>
        <v>2.54369275707928</v>
      </c>
      <c r="H47" s="157" t="n">
        <f aca="false">IF(AND(ISNUMBER(H32),ISNUMBER(H41)),H32*H41,"SLO 不可達")</f>
        <v>4.12524961218807</v>
      </c>
      <c r="I47" s="157" t="n">
        <f aca="false">IF(AND(ISNUMBER(I32),ISNUMBER(I41)),I32*I41,"SLO 不可達")</f>
        <v>1.88713956026905</v>
      </c>
      <c r="J47" s="157" t="n">
        <f aca="false">IF(AND(ISNUMBER(J32),ISNUMBER(J41)),J32*J41,"SLO 不可達")</f>
        <v>2.43714404159232</v>
      </c>
      <c r="K47" s="157" t="n">
        <f aca="false">IF(AND(ISNUMBER(K32),ISNUMBER(K41)),K32*K41,"SLO 不可達")</f>
        <v>4.14886038459861</v>
      </c>
      <c r="L47" s="157" t="n">
        <f aca="false">IF(AND(ISNUMBER(L32),ISNUMBER(L41)),L32*L41,"SLO 不可達")</f>
        <v>1.11379960443524</v>
      </c>
      <c r="M47" s="157" t="n">
        <f aca="false">IF(AND(ISNUMBER(M32),ISNUMBER(M41)),M32*M41,"SLO 不可達")</f>
        <v>1.43133790751795</v>
      </c>
      <c r="N47" s="157" t="n">
        <f aca="false">IF(AND(ISNUMBER(N32),ISNUMBER(N41)),N32*N41,"SLO 不可達")</f>
        <v>2.31197860552805</v>
      </c>
      <c r="O47" s="157" t="n">
        <f aca="false">IF(AND(ISNUMBER(O32),ISNUMBER(O41)),O32*O41,"SLO 不可達")</f>
        <v>0.834791019891287</v>
      </c>
      <c r="P47" s="157" t="n">
        <f aca="false">IF(AND(ISNUMBER(P32),ISNUMBER(P41)),P32*P41,"SLO 不可達")</f>
        <v>1.26844130550297</v>
      </c>
      <c r="Q47" s="157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1806</v>
      </c>
      <c r="B48" s="61" t="s">
        <v>807</v>
      </c>
      <c r="C48" s="161" t="str">
        <f aca="false">IF(AND(ISNUMBER(C42),ISNUMBER(C30)),IF(AND(C42&gt;0,C30&gt;0),C39*(Fleet_1GW!C27*INDEX(B4_EffRef,1,3)/1000000/C42)*1000000/C30,0),"SLO 不可達")</f>
        <v>SLO 不可達</v>
      </c>
      <c r="D48" s="161" t="str">
        <f aca="false">IF(AND(ISNUMBER(D42),ISNUMBER(D30)),IF(AND(D42&gt;0,D30&gt;0),D39*(Fleet_1GW!D27*INDEX(B4_EffRef,1,3)/1000000/D42)*1000000/D30,0),"SLO 不可達")</f>
        <v>SLO 不可達</v>
      </c>
      <c r="E48" s="161" t="str">
        <f aca="false">IF(AND(ISNUMBER(E42),ISNUMBER(E30)),IF(AND(E42&gt;0,E30&gt;0),E39*(Fleet_1GW!E27*INDEX(B4_EffRef,1,3)/1000000/E42)*1000000/E30,0),"SLO 不可達")</f>
        <v>SLO 不可達</v>
      </c>
      <c r="F48" s="161" t="n">
        <f aca="false">IF(AND(ISNUMBER(F42),ISNUMBER(F30)),IF(AND(F42&gt;0,F30&gt;0),F39*(Fleet_1GW!F27*INDEX(B4_EffRef,1,3)/1000000/F42)*1000000/F30,0),"SLO 不可達")</f>
        <v>1.35822518708084</v>
      </c>
      <c r="G48" s="161" t="n">
        <f aca="false">IF(AND(ISNUMBER(G42),ISNUMBER(G30)),IF(AND(G42&gt;0,G30&gt;0),G39*(Fleet_1GW!G27*INDEX(B4_EffRef,1,3)/1000000/G42)*1000000/G30,0),"SLO 不可達")</f>
        <v>1.81335666332307</v>
      </c>
      <c r="H48" s="161" t="n">
        <f aca="false">IF(AND(ISNUMBER(H42),ISNUMBER(H30)),IF(AND(H42&gt;0,H30&gt;0),H39*(Fleet_1GW!H27*INDEX(B4_EffRef,1,3)/1000000/H42)*1000000/H30,0),"SLO 不可達")</f>
        <v>2.94082249175466</v>
      </c>
      <c r="I48" s="161" t="n">
        <f aca="false">IF(AND(ISNUMBER(I42),ISNUMBER(I30)),IF(AND(I42&gt;0,I30&gt;0),I39*(Fleet_1GW!I27*INDEX(B4_EffRef,1,3)/1000000/I42)*1000000/I30,0),"SLO 不可達")</f>
        <v>1.33996958943401</v>
      </c>
      <c r="J48" s="161" t="n">
        <f aca="false">IF(AND(ISNUMBER(J42),ISNUMBER(J30)),IF(AND(J42&gt;0,J30&gt;0),J39*(Fleet_1GW!J27*INDEX(B4_EffRef,1,3)/1000000/J42)*1000000/J30,0),"SLO 不可達")</f>
        <v>1.73050206225257</v>
      </c>
      <c r="K48" s="161" t="n">
        <f aca="false">IF(AND(ISNUMBER(K42),ISNUMBER(K30)),IF(AND(K42&gt;0,K30&gt;0),K39*(Fleet_1GW!K27*INDEX(B4_EffRef,1,3)/1000000/K42)*1000000/K30,0),"SLO 不可達")</f>
        <v>2.94591182507828</v>
      </c>
      <c r="L48" s="161" t="n">
        <f aca="false">IF(AND(ISNUMBER(L42),ISNUMBER(L30)),IF(AND(L42&gt;0,L30&gt;0),L39*(Fleet_1GW!L27*INDEX(B4_EffRef,1,3)/1000000/L42)*1000000/L30,0),"SLO 不可達")</f>
        <v>0.795400319476929</v>
      </c>
      <c r="M48" s="161" t="n">
        <f aca="false">IF(AND(ISNUMBER(M42),ISNUMBER(M30)),IF(AND(M42&gt;0,M30&gt;0),M39*(Fleet_1GW!M27*INDEX(B4_EffRef,1,3)/1000000/M42)*1000000/M30,0),"SLO 不可達")</f>
        <v>1.02216469137327</v>
      </c>
      <c r="N48" s="161" t="n">
        <f aca="false">IF(AND(ISNUMBER(N42),ISNUMBER(N30)),IF(AND(N42&gt;0,N30&gt;0),N39*(Fleet_1GW!N27*INDEX(B4_EffRef,1,3)/1000000/N42)*1000000/N30,0),"SLO 不可達")</f>
        <v>1.65105869506327</v>
      </c>
      <c r="O48" s="161" t="n">
        <f aca="false">IF(AND(ISNUMBER(O42),ISNUMBER(O30)),IF(AND(O42&gt;0,O30&gt;0),O39*(Fleet_1GW!O27*INDEX(B4_EffRef,1,3)/1000000/O42)*1000000/O30,0),"SLO 不可達")</f>
        <v>0.594263829823415</v>
      </c>
      <c r="P48" s="161" t="n">
        <f aca="false">IF(AND(ISNUMBER(P42),ISNUMBER(P30)),IF(AND(P42&gt;0,P30&gt;0),P39*(Fleet_1GW!P27*INDEX(B4_EffRef,1,3)/1000000/P42)*1000000/P30,0),"SLO 不可達")</f>
        <v>0.902967054212651</v>
      </c>
      <c r="Q48" s="161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1807</v>
      </c>
      <c r="B49" s="61" t="s">
        <v>99</v>
      </c>
      <c r="C49" s="103" t="n">
        <f aca="false">IF(ISNUMBER(C42),IF(C42&gt;0,C39/C42,0),"SLO 不可達")</f>
        <v>0.997989397367503</v>
      </c>
      <c r="D49" s="103" t="n">
        <f aca="false">IF(ISNUMBER(D42),IF(D42&gt;0,D39/D42,0),"SLO 不可達")</f>
        <v>1.42590572917675</v>
      </c>
      <c r="E49" s="103" t="n">
        <f aca="false">IF(ISNUMBER(E42),IF(E42&gt;0,E39/E42,0),"SLO 不可達")</f>
        <v>2.44876863377392</v>
      </c>
      <c r="F49" s="103" t="n">
        <f aca="false">IF(ISNUMBER(F42),IF(F42&gt;0,F39/F42,0),"SLO 不可達")</f>
        <v>0.169026917640038</v>
      </c>
      <c r="G49" s="103" t="n">
        <f aca="false">IF(ISNUMBER(G42),IF(G42&gt;0,G39/G42,0),"SLO 不可達")</f>
        <v>0.225666620159122</v>
      </c>
      <c r="H49" s="103" t="n">
        <f aca="false">IF(ISNUMBER(H42),IF(H42&gt;0,H39/H42,0),"SLO 不可達")</f>
        <v>0.365976250356636</v>
      </c>
      <c r="I49" s="103" t="n">
        <f aca="false">IF(ISNUMBER(I42),IF(I42&gt;0,I39/I42,0),"SLO 不可達")</f>
        <v>0.166755065056777</v>
      </c>
      <c r="J49" s="103" t="n">
        <f aca="false">IF(ISNUMBER(J42),IF(J42&gt;0,J39/J42,0),"SLO 不可達")</f>
        <v>0.215355621685193</v>
      </c>
      <c r="K49" s="103" t="n">
        <f aca="false">IF(ISNUMBER(K42),IF(K42&gt;0,K39/K42,0),"SLO 不可達")</f>
        <v>0.366609602125339</v>
      </c>
      <c r="L49" s="103" t="n">
        <f aca="false">IF(ISNUMBER(L42),IF(L42&gt;0,L39/L42,0),"SLO 不可達")</f>
        <v>0.0989851061295957</v>
      </c>
      <c r="M49" s="103" t="n">
        <f aca="false">IF(ISNUMBER(M42),IF(M42&gt;0,M39/M42,0),"SLO 不可達")</f>
        <v>0.127205229844572</v>
      </c>
      <c r="N49" s="103" t="n">
        <f aca="false">IF(ISNUMBER(N42),IF(N42&gt;0,N39/N42,0),"SLO 不可達")</f>
        <v>0.205469140702011</v>
      </c>
      <c r="O49" s="103" t="n">
        <f aca="false">IF(ISNUMBER(O42),IF(O42&gt;0,O39/O42,0),"SLO 不可達")</f>
        <v>0.0739542929813432</v>
      </c>
      <c r="P49" s="103" t="n">
        <f aca="false">IF(ISNUMBER(P42),IF(P42&gt;0,P39/P42,0),"SLO 不可達")</f>
        <v>0.112371453096154</v>
      </c>
      <c r="Q49" s="103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3" t="s">
        <v>1808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1809</v>
      </c>
    </row>
    <row r="2" customFormat="false" ht="15" hidden="false" customHeight="false" outlineLevel="0" collapsed="false">
      <c r="A2" s="58" t="s">
        <v>1810</v>
      </c>
    </row>
    <row r="4" customFormat="false" ht="15" hidden="false" customHeight="false" outlineLevel="0" collapsed="false">
      <c r="A4" s="59" t="s">
        <v>171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452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1726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1811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1812</v>
      </c>
      <c r="B10" s="61" t="s">
        <v>799</v>
      </c>
      <c r="C10" s="67" t="n">
        <f aca="false">IF(ISNUMBER(INDEX(IF_TokGW_Luna,1,C$7)),INDEX(IF_TokGW_Luna,1,C$7)*IF_Util,INDEX(IF_TokGW_Luna,1,C$7))</f>
        <v>38434235664.8891</v>
      </c>
      <c r="D10" s="67" t="n">
        <f aca="false">IF(ISNUMBER(INDEX(IF_TokGW_Luna,1,D$7)),INDEX(IF_TokGW_Luna,1,D$7)*IF_Util,INDEX(IF_TokGW_Luna,1,D$7))</f>
        <v>38434235664.8891</v>
      </c>
      <c r="E10" s="67" t="n">
        <f aca="false">IF(ISNUMBER(INDEX(IF_TokGW_Luna,1,E$7)),INDEX(IF_TokGW_Luna,1,E$7)*IF_Util,INDEX(IF_TokGW_Luna,1,E$7))</f>
        <v>38434235664.8891</v>
      </c>
      <c r="F10" s="67" t="n">
        <f aca="false">IF(ISNUMBER(INDEX(IF_TokGW_Luna,1,F$7)),INDEX(IF_TokGW_Luna,1,F$7)*IF_Util,INDEX(IF_TokGW_Luna,1,F$7))</f>
        <v>217384136451.368</v>
      </c>
      <c r="G10" s="67" t="n">
        <f aca="false">IF(ISNUMBER(INDEX(IF_TokGW_Luna,1,G$7)),INDEX(IF_TokGW_Luna,1,G$7)*IF_Util,INDEX(IF_TokGW_Luna,1,G$7))</f>
        <v>217384136451.368</v>
      </c>
      <c r="H10" s="67" t="n">
        <f aca="false">IF(ISNUMBER(INDEX(IF_TokGW_Luna,1,H$7)),INDEX(IF_TokGW_Luna,1,H$7)*IF_Util,INDEX(IF_TokGW_Luna,1,H$7))</f>
        <v>217384136451.368</v>
      </c>
      <c r="I10" s="67" t="n">
        <f aca="false">IF(ISNUMBER(INDEX(IF_TokGW_Luna,1,I$7)),INDEX(IF_TokGW_Luna,1,I$7)*IF_Util,INDEX(IF_TokGW_Luna,1,I$7))</f>
        <v>316484351906.383</v>
      </c>
      <c r="J10" s="67" t="n">
        <f aca="false">IF(ISNUMBER(INDEX(IF_TokGW_Luna,1,J$7)),INDEX(IF_TokGW_Luna,1,J$7)*IF_Util,INDEX(IF_TokGW_Luna,1,J$7))</f>
        <v>316484351906.383</v>
      </c>
      <c r="K10" s="67" t="n">
        <f aca="false">IF(ISNUMBER(INDEX(IF_TokGW_Luna,1,K$7)),INDEX(IF_TokGW_Luna,1,K$7)*IF_Util,INDEX(IF_TokGW_Luna,1,K$7))</f>
        <v>316484351906.383</v>
      </c>
      <c r="L10" s="67" t="n">
        <f aca="false">IF(ISNUMBER(INDEX(IF_TokGW_Luna,1,L$7)),INDEX(IF_TokGW_Luna,1,L$7)*IF_Util,INDEX(IF_TokGW_Luna,1,L$7))</f>
        <v>463667040596.067</v>
      </c>
      <c r="M10" s="67" t="n">
        <f aca="false">IF(ISNUMBER(INDEX(IF_TokGW_Luna,1,M$7)),INDEX(IF_TokGW_Luna,1,M$7)*IF_Util,INDEX(IF_TokGW_Luna,1,M$7))</f>
        <v>463667040596.067</v>
      </c>
      <c r="N10" s="67" t="n">
        <f aca="false">IF(ISNUMBER(INDEX(IF_TokGW_Luna,1,N$7)),INDEX(IF_TokGW_Luna,1,N$7)*IF_Util,INDEX(IF_TokGW_Luna,1,N$7))</f>
        <v>463667040596.067</v>
      </c>
      <c r="O10" s="67" t="n">
        <f aca="false">IF(ISNUMBER(INDEX(IF_TokGW_Luna,1,O$7)),INDEX(IF_TokGW_Luna,1,O$7)*IF_Util,INDEX(IF_TokGW_Luna,1,O$7))</f>
        <v>626624227834.433</v>
      </c>
      <c r="P10" s="67" t="n">
        <f aca="false">IF(ISNUMBER(INDEX(IF_TokGW_Luna,1,P$7)),INDEX(IF_TokGW_Luna,1,P$7)*IF_Util,INDEX(IF_TokGW_Luna,1,P$7))</f>
        <v>626624227834.433</v>
      </c>
      <c r="Q10" s="67" t="n">
        <f aca="false">IF(ISNUMBER(INDEX(IF_TokGW_Luna,1,Q$7)),INDEX(IF_TokGW_Luna,1,Q$7)*IF_Util,INDEX(IF_TokGW_Luna,1,Q$7))</f>
        <v>626624227834.433</v>
      </c>
    </row>
    <row r="11" customFormat="false" ht="15" hidden="false" customHeight="false" outlineLevel="0" collapsed="false">
      <c r="A11" s="5" t="s">
        <v>1813</v>
      </c>
      <c r="B11" s="61" t="s">
        <v>1814</v>
      </c>
      <c r="C11" s="112" t="n">
        <f aca="false">IF(ISNUMBER(C10),C10*INDEX(B4_EffRef,1,1)/1000000000,C10)</f>
        <v>3.08840435920531</v>
      </c>
      <c r="D11" s="112" t="n">
        <f aca="false">IF(ISNUMBER(D10),D10*INDEX(B4_EffRef,1,1)/1000000000,D10)</f>
        <v>3.08840435920531</v>
      </c>
      <c r="E11" s="112" t="n">
        <f aca="false">IF(ISNUMBER(E10),E10*INDEX(B4_EffRef,1,1)/1000000000,E10)</f>
        <v>3.08840435920531</v>
      </c>
      <c r="F11" s="112" t="n">
        <f aca="false">IF(ISNUMBER(F10),F10*INDEX(B4_EffRef,1,1)/1000000000,F10)</f>
        <v>17.4680230535144</v>
      </c>
      <c r="G11" s="112" t="n">
        <f aca="false">IF(ISNUMBER(G10),G10*INDEX(B4_EffRef,1,1)/1000000000,G10)</f>
        <v>17.4680230535144</v>
      </c>
      <c r="H11" s="112" t="n">
        <f aca="false">IF(ISNUMBER(H10),H10*INDEX(B4_EffRef,1,1)/1000000000,H10)</f>
        <v>17.4680230535144</v>
      </c>
      <c r="I11" s="112" t="n">
        <f aca="false">IF(ISNUMBER(I10),I10*INDEX(B4_EffRef,1,1)/1000000000,I10)</f>
        <v>25.4312759220773</v>
      </c>
      <c r="J11" s="112" t="n">
        <f aca="false">IF(ISNUMBER(J10),J10*INDEX(B4_EffRef,1,1)/1000000000,J10)</f>
        <v>25.4312759220773</v>
      </c>
      <c r="K11" s="112" t="n">
        <f aca="false">IF(ISNUMBER(K10),K10*INDEX(B4_EffRef,1,1)/1000000000,K10)</f>
        <v>25.4312759220773</v>
      </c>
      <c r="L11" s="112" t="n">
        <f aca="false">IF(ISNUMBER(L10),L10*INDEX(B4_EffRef,1,1)/1000000000,L10)</f>
        <v>37.2582226398973</v>
      </c>
      <c r="M11" s="112" t="n">
        <f aca="false">IF(ISNUMBER(M10),M10*INDEX(B4_EffRef,1,1)/1000000000,M10)</f>
        <v>37.2582226398973</v>
      </c>
      <c r="N11" s="112" t="n">
        <f aca="false">IF(ISNUMBER(N10),N10*INDEX(B4_EffRef,1,1)/1000000000,N10)</f>
        <v>37.2582226398973</v>
      </c>
      <c r="O11" s="112" t="n">
        <f aca="false">IF(ISNUMBER(O10),O10*INDEX(B4_EffRef,1,1)/1000000000,O10)</f>
        <v>50.3527379522069</v>
      </c>
      <c r="P11" s="112" t="n">
        <f aca="false">IF(ISNUMBER(P10),P10*INDEX(B4_EffRef,1,1)/1000000000,P10)</f>
        <v>50.3527379522069</v>
      </c>
      <c r="Q11" s="112" t="n">
        <f aca="false">IF(ISNUMBER(Q10),Q10*INDEX(B4_EffRef,1,1)/1000000000,Q10)</f>
        <v>50.3527379522069</v>
      </c>
    </row>
    <row r="12" customFormat="false" ht="15" hidden="false" customHeight="false" outlineLevel="0" collapsed="false">
      <c r="A12" s="5" t="s">
        <v>1815</v>
      </c>
      <c r="B12" s="61" t="s">
        <v>1814</v>
      </c>
      <c r="C12" s="74" t="n">
        <f aca="false">IF(ISNUMBER(C10),C10*INDEX(B4_FrontRef,1,1)/1000000000,C10)</f>
        <v>3.08840435920531</v>
      </c>
      <c r="D12" s="74" t="n">
        <f aca="false">IF(ISNUMBER(D10),D10*INDEX(B4_FrontRef,1,1)/1000000000,D10)</f>
        <v>3.08840435920531</v>
      </c>
      <c r="E12" s="74" t="n">
        <f aca="false">IF(ISNUMBER(E10),E10*INDEX(B4_FrontRef,1,1)/1000000000,E10)</f>
        <v>3.08840435920531</v>
      </c>
      <c r="F12" s="74" t="n">
        <f aca="false">IF(ISNUMBER(F10),F10*INDEX(B4_FrontRef,1,1)/1000000000,F10)</f>
        <v>17.4680230535144</v>
      </c>
      <c r="G12" s="74" t="n">
        <f aca="false">IF(ISNUMBER(G10),G10*INDEX(B4_FrontRef,1,1)/1000000000,G10)</f>
        <v>17.4680230535144</v>
      </c>
      <c r="H12" s="74" t="n">
        <f aca="false">IF(ISNUMBER(H10),H10*INDEX(B4_FrontRef,1,1)/1000000000,H10)</f>
        <v>17.4680230535144</v>
      </c>
      <c r="I12" s="74" t="n">
        <f aca="false">IF(ISNUMBER(I10),I10*INDEX(B4_FrontRef,1,1)/1000000000,I10)</f>
        <v>25.4312759220773</v>
      </c>
      <c r="J12" s="74" t="n">
        <f aca="false">IF(ISNUMBER(J10),J10*INDEX(B4_FrontRef,1,1)/1000000000,J10)</f>
        <v>25.4312759220773</v>
      </c>
      <c r="K12" s="74" t="n">
        <f aca="false">IF(ISNUMBER(K10),K10*INDEX(B4_FrontRef,1,1)/1000000000,K10)</f>
        <v>25.4312759220773</v>
      </c>
      <c r="L12" s="74" t="n">
        <f aca="false">IF(ISNUMBER(L10),L10*INDEX(B4_FrontRef,1,1)/1000000000,L10)</f>
        <v>37.2582226398973</v>
      </c>
      <c r="M12" s="74" t="n">
        <f aca="false">IF(ISNUMBER(M10),M10*INDEX(B4_FrontRef,1,1)/1000000000,M10)</f>
        <v>37.2582226398973</v>
      </c>
      <c r="N12" s="74" t="n">
        <f aca="false">IF(ISNUMBER(N10),N10*INDEX(B4_FrontRef,1,1)/1000000000,N10)</f>
        <v>37.2582226398973</v>
      </c>
      <c r="O12" s="74" t="n">
        <f aca="false">IF(ISNUMBER(O10),O10*INDEX(B4_FrontRef,1,1)/1000000000,O10)</f>
        <v>50.3527379522069</v>
      </c>
      <c r="P12" s="74" t="n">
        <f aca="false">IF(ISNUMBER(P10),P10*INDEX(B4_FrontRef,1,1)/1000000000,P10)</f>
        <v>50.3527379522069</v>
      </c>
      <c r="Q12" s="74" t="n">
        <f aca="false">IF(ISNUMBER(Q10),Q10*INDEX(B4_FrontRef,1,1)/1000000000,Q10)</f>
        <v>50.3527379522069</v>
      </c>
    </row>
    <row r="13" customFormat="false" ht="15" hidden="false" customHeight="false" outlineLevel="0" collapsed="false">
      <c r="A13" s="5" t="s">
        <v>1816</v>
      </c>
      <c r="B13" s="61" t="s">
        <v>1814</v>
      </c>
      <c r="C13" s="74" t="n">
        <f aca="false">IF(ISNUMBER(INDEX(IF_TokGW_Luna,1,C$7)),INDEX(IF_TokGW_Luna,1,C$7)*INDEX(B4_EffRef,1,1)/1000000000,INDEX(IF_TokGW_Luna,1,C$7))</f>
        <v>5.14734059867551</v>
      </c>
      <c r="D13" s="74" t="n">
        <f aca="false">IF(ISNUMBER(INDEX(IF_TokGW_Luna,1,D$7)),INDEX(IF_TokGW_Luna,1,D$7)*INDEX(B4_EffRef,1,1)/1000000000,INDEX(IF_TokGW_Luna,1,D$7))</f>
        <v>5.14734059867551</v>
      </c>
      <c r="E13" s="74" t="n">
        <f aca="false">IF(ISNUMBER(INDEX(IF_TokGW_Luna,1,E$7)),INDEX(IF_TokGW_Luna,1,E$7)*INDEX(B4_EffRef,1,1)/1000000000,INDEX(IF_TokGW_Luna,1,E$7))</f>
        <v>5.14734059867551</v>
      </c>
      <c r="F13" s="74" t="n">
        <f aca="false">IF(ISNUMBER(INDEX(IF_TokGW_Luna,1,F$7)),INDEX(IF_TokGW_Luna,1,F$7)*INDEX(B4_EffRef,1,1)/1000000000,INDEX(IF_TokGW_Luna,1,F$7))</f>
        <v>29.1133717558573</v>
      </c>
      <c r="G13" s="74" t="n">
        <f aca="false">IF(ISNUMBER(INDEX(IF_TokGW_Luna,1,G$7)),INDEX(IF_TokGW_Luna,1,G$7)*INDEX(B4_EffRef,1,1)/1000000000,INDEX(IF_TokGW_Luna,1,G$7))</f>
        <v>29.1133717558573</v>
      </c>
      <c r="H13" s="74" t="n">
        <f aca="false">IF(ISNUMBER(INDEX(IF_TokGW_Luna,1,H$7)),INDEX(IF_TokGW_Luna,1,H$7)*INDEX(B4_EffRef,1,1)/1000000000,INDEX(IF_TokGW_Luna,1,H$7))</f>
        <v>29.1133717558573</v>
      </c>
      <c r="I13" s="74" t="n">
        <f aca="false">IF(ISNUMBER(INDEX(IF_TokGW_Luna,1,I$7)),INDEX(IF_TokGW_Luna,1,I$7)*INDEX(B4_EffRef,1,1)/1000000000,INDEX(IF_TokGW_Luna,1,I$7))</f>
        <v>42.3854598701289</v>
      </c>
      <c r="J13" s="74" t="n">
        <f aca="false">IF(ISNUMBER(INDEX(IF_TokGW_Luna,1,J$7)),INDEX(IF_TokGW_Luna,1,J$7)*INDEX(B4_EffRef,1,1)/1000000000,INDEX(IF_TokGW_Luna,1,J$7))</f>
        <v>42.3854598701289</v>
      </c>
      <c r="K13" s="74" t="n">
        <f aca="false">IF(ISNUMBER(INDEX(IF_TokGW_Luna,1,K$7)),INDEX(IF_TokGW_Luna,1,K$7)*INDEX(B4_EffRef,1,1)/1000000000,INDEX(IF_TokGW_Luna,1,K$7))</f>
        <v>42.3854598701289</v>
      </c>
      <c r="L13" s="74" t="n">
        <f aca="false">IF(ISNUMBER(INDEX(IF_TokGW_Luna,1,L$7)),INDEX(IF_TokGW_Luna,1,L$7)*INDEX(B4_EffRef,1,1)/1000000000,INDEX(IF_TokGW_Luna,1,L$7))</f>
        <v>62.0970377331622</v>
      </c>
      <c r="M13" s="74" t="n">
        <f aca="false">IF(ISNUMBER(INDEX(IF_TokGW_Luna,1,M$7)),INDEX(IF_TokGW_Luna,1,M$7)*INDEX(B4_EffRef,1,1)/1000000000,INDEX(IF_TokGW_Luna,1,M$7))</f>
        <v>62.0970377331622</v>
      </c>
      <c r="N13" s="74" t="n">
        <f aca="false">IF(ISNUMBER(INDEX(IF_TokGW_Luna,1,N$7)),INDEX(IF_TokGW_Luna,1,N$7)*INDEX(B4_EffRef,1,1)/1000000000,INDEX(IF_TokGW_Luna,1,N$7))</f>
        <v>62.0970377331622</v>
      </c>
      <c r="O13" s="74" t="n">
        <f aca="false">IF(ISNUMBER(INDEX(IF_TokGW_Luna,1,O$7)),INDEX(IF_TokGW_Luna,1,O$7)*INDEX(B4_EffRef,1,1)/1000000000,INDEX(IF_TokGW_Luna,1,O$7))</f>
        <v>83.9212299203448</v>
      </c>
      <c r="P13" s="74" t="n">
        <f aca="false">IF(ISNUMBER(INDEX(IF_TokGW_Luna,1,P$7)),INDEX(IF_TokGW_Luna,1,P$7)*INDEX(B4_EffRef,1,1)/1000000000,INDEX(IF_TokGW_Luna,1,P$7))</f>
        <v>83.9212299203448</v>
      </c>
      <c r="Q13" s="74" t="n">
        <f aca="false">IF(ISNUMBER(INDEX(IF_TokGW_Luna,1,Q$7)),INDEX(IF_TokGW_Luna,1,Q$7)*INDEX(B4_EffRef,1,1)/1000000000,INDEX(IF_TokGW_Luna,1,Q$7))</f>
        <v>83.9212299203448</v>
      </c>
    </row>
    <row r="14" customFormat="false" ht="15" hidden="false" customHeight="false" outlineLevel="0" collapsed="false">
      <c r="A14" s="5" t="s">
        <v>1817</v>
      </c>
      <c r="B14" s="61" t="s">
        <v>1814</v>
      </c>
      <c r="C14" s="74" t="n">
        <f aca="false">INDEX(IF_HoldEcon,1,C$7)</f>
        <v>6.79107465326444</v>
      </c>
      <c r="D14" s="74" t="n">
        <f aca="false">INDEX(IF_HoldEcon,1,D$7)</f>
        <v>9.70308728611469</v>
      </c>
      <c r="E14" s="74" t="n">
        <f aca="false">INDEX(IF_HoldEcon,1,E$7)</f>
        <v>16.6637697337026</v>
      </c>
      <c r="F14" s="74" t="n">
        <f aca="false">INDEX(IF_HoldEcon,1,F$7)</f>
        <v>6.6118162762144</v>
      </c>
      <c r="G14" s="74" t="n">
        <f aca="false">INDEX(IF_HoldEcon,1,G$7)</f>
        <v>8.82816556596761</v>
      </c>
      <c r="H14" s="74" t="n">
        <f aca="false">INDEX(IF_HoldEcon,1,H$7)</f>
        <v>14.3185748619737</v>
      </c>
      <c r="I14" s="74" t="n">
        <f aca="false">INDEX(IF_HoldEcon,1,I$7)</f>
        <v>8.42889912085495</v>
      </c>
      <c r="J14" s="74" t="n">
        <f aca="false">INDEX(IF_HoldEcon,1,J$7)</f>
        <v>10.8864110021101</v>
      </c>
      <c r="K14" s="74" t="n">
        <f aca="false">INDEX(IF_HoldEcon,1,K$7)</f>
        <v>18.5346455040469</v>
      </c>
      <c r="L14" s="74" t="n">
        <f aca="false">INDEX(IF_HoldEcon,1,L$7)</f>
        <v>9.51207691858967</v>
      </c>
      <c r="M14" s="74" t="n">
        <f aca="false">INDEX(IF_HoldEcon,1,M$7)</f>
        <v>12.2254710045841</v>
      </c>
      <c r="N14" s="74" t="n">
        <f aca="false">INDEX(IF_HoldEcon,1,N$7)</f>
        <v>19.7506269894487</v>
      </c>
      <c r="O14" s="74" t="n">
        <f aca="false">INDEX(IF_HoldEcon,1,O$7)</f>
        <v>10.1025446864987</v>
      </c>
      <c r="P14" s="74" t="n">
        <f aca="false">INDEX(IF_HoldEcon,1,P$7)</f>
        <v>15.3544827030524</v>
      </c>
      <c r="Q14" s="74" t="n">
        <f aca="false">INDEX(IF_HoldEcon,1,Q$7)</f>
        <v>28.0302450108258</v>
      </c>
    </row>
    <row r="15" customFormat="false" ht="15" hidden="false" customHeight="false" outlineLevel="0" collapsed="false">
      <c r="A15" s="5" t="s">
        <v>1818</v>
      </c>
      <c r="B15" s="61" t="s">
        <v>103</v>
      </c>
      <c r="C15" s="88" t="n">
        <f aca="false">IF(ISNUMBER(C11),C11/C14,C11)</f>
        <v>0.454774025745797</v>
      </c>
      <c r="D15" s="88" t="n">
        <f aca="false">IF(ISNUMBER(D11),D11/D14,D11)</f>
        <v>0.318290897333767</v>
      </c>
      <c r="E15" s="88" t="n">
        <f aca="false">IF(ISNUMBER(E11),E11/E14,E11)</f>
        <v>0.185336475993123</v>
      </c>
      <c r="F15" s="88" t="n">
        <f aca="false">IF(ISNUMBER(F11),F11/F14,F11)</f>
        <v>2.64194017555426</v>
      </c>
      <c r="G15" s="88" t="n">
        <f aca="false">IF(ISNUMBER(G11),G11/G14,G11)</f>
        <v>1.97866962541496</v>
      </c>
      <c r="H15" s="88" t="n">
        <f aca="false">IF(ISNUMBER(H11),H11/H14,H11)</f>
        <v>1.2199554230711</v>
      </c>
      <c r="I15" s="88" t="n">
        <f aca="false">IF(ISNUMBER(I11),I11/I14,I11)</f>
        <v>3.01715272154044</v>
      </c>
      <c r="J15" s="88" t="n">
        <f aca="false">IF(ISNUMBER(J11),J11/J14,J11)</f>
        <v>2.33605693530661</v>
      </c>
      <c r="K15" s="88" t="n">
        <f aca="false">IF(ISNUMBER(K11),K11/K14,K11)</f>
        <v>1.37209400182618</v>
      </c>
      <c r="L15" s="88" t="n">
        <f aca="false">IF(ISNUMBER(L11),L11/L14,L11)</f>
        <v>3.91693874626715</v>
      </c>
      <c r="M15" s="88" t="n">
        <f aca="false">IF(ISNUMBER(M11),M11/M14,M11)</f>
        <v>3.04758995591473</v>
      </c>
      <c r="N15" s="88" t="n">
        <f aca="false">IF(ISNUMBER(N11),N11/N14,N11)</f>
        <v>1.88643239831331</v>
      </c>
      <c r="O15" s="88" t="n">
        <f aca="false">IF(ISNUMBER(O11),O11/O14,O11)</f>
        <v>4.98416384334334</v>
      </c>
      <c r="P15" s="88" t="n">
        <f aca="false">IF(ISNUMBER(P11),P11/P14,P11)</f>
        <v>3.27935098342304</v>
      </c>
      <c r="Q15" s="88" t="n">
        <f aca="false">IF(ISNUMBER(Q11),Q11/Q14,Q11)</f>
        <v>1.79637166684628</v>
      </c>
    </row>
    <row r="16" customFormat="false" ht="15" hidden="false" customHeight="false" outlineLevel="0" collapsed="false">
      <c r="A16" s="5" t="s">
        <v>1819</v>
      </c>
      <c r="B16" s="61" t="s">
        <v>103</v>
      </c>
      <c r="C16" s="86" t="n">
        <f aca="false">IF(ISNUMBER(C12),C12/C14,C12)</f>
        <v>0.454774025745797</v>
      </c>
      <c r="D16" s="86" t="n">
        <f aca="false">IF(ISNUMBER(D12),D12/D14,D12)</f>
        <v>0.318290897333767</v>
      </c>
      <c r="E16" s="86" t="n">
        <f aca="false">IF(ISNUMBER(E12),E12/E14,E12)</f>
        <v>0.185336475993123</v>
      </c>
      <c r="F16" s="86" t="n">
        <f aca="false">IF(ISNUMBER(F12),F12/F14,F12)</f>
        <v>2.64194017555426</v>
      </c>
      <c r="G16" s="86" t="n">
        <f aca="false">IF(ISNUMBER(G12),G12/G14,G12)</f>
        <v>1.97866962541496</v>
      </c>
      <c r="H16" s="86" t="n">
        <f aca="false">IF(ISNUMBER(H12),H12/H14,H12)</f>
        <v>1.2199554230711</v>
      </c>
      <c r="I16" s="86" t="n">
        <f aca="false">IF(ISNUMBER(I12),I12/I14,I12)</f>
        <v>3.01715272154044</v>
      </c>
      <c r="J16" s="86" t="n">
        <f aca="false">IF(ISNUMBER(J12),J12/J14,J12)</f>
        <v>2.33605693530661</v>
      </c>
      <c r="K16" s="86" t="n">
        <f aca="false">IF(ISNUMBER(K12),K12/K14,K12)</f>
        <v>1.37209400182618</v>
      </c>
      <c r="L16" s="86" t="n">
        <f aca="false">IF(ISNUMBER(L12),L12/L14,L12)</f>
        <v>3.91693874626715</v>
      </c>
      <c r="M16" s="86" t="n">
        <f aca="false">IF(ISNUMBER(M12),M12/M14,M12)</f>
        <v>3.04758995591473</v>
      </c>
      <c r="N16" s="86" t="n">
        <f aca="false">IF(ISNUMBER(N12),N12/N14,N12)</f>
        <v>1.88643239831331</v>
      </c>
      <c r="O16" s="86" t="n">
        <f aca="false">IF(ISNUMBER(O12),O12/O14,O12)</f>
        <v>4.98416384334334</v>
      </c>
      <c r="P16" s="86" t="n">
        <f aca="false">IF(ISNUMBER(P12),P12/P14,P12)</f>
        <v>3.27935098342304</v>
      </c>
      <c r="Q16" s="86" t="n">
        <f aca="false">IF(ISNUMBER(Q12),Q12/Q14,Q12)</f>
        <v>1.79637166684628</v>
      </c>
    </row>
    <row r="17" customFormat="false" ht="15" hidden="false" customHeight="false" outlineLevel="0" collapsed="false">
      <c r="A17" s="5" t="s">
        <v>1820</v>
      </c>
      <c r="B17" s="61" t="s">
        <v>807</v>
      </c>
      <c r="C17" s="158" t="n">
        <f aca="false">Amortize!C14</f>
        <v>0.145199997861622</v>
      </c>
      <c r="D17" s="158" t="n">
        <f aca="false">Amortize!D14</f>
        <v>0.207457108188586</v>
      </c>
      <c r="E17" s="158" t="n">
        <f aca="false">Amortize!E14</f>
        <v>0.356272388109361</v>
      </c>
      <c r="F17" s="158" t="n">
        <f aca="false">Amortize!F14</f>
        <v>0.0260936867672857</v>
      </c>
      <c r="G17" s="158" t="n">
        <f aca="false">Amortize!G14</f>
        <v>0.0348369296673268</v>
      </c>
      <c r="H17" s="158" t="n">
        <f aca="false">Amortize!H14</f>
        <v>0.0564959625271565</v>
      </c>
      <c r="I17" s="158" t="n">
        <f aca="false">Amortize!I14</f>
        <v>0.0228541941694006</v>
      </c>
      <c r="J17" s="158" t="n">
        <f aca="false">Amortize!J14</f>
        <v>0.0295143560848238</v>
      </c>
      <c r="K17" s="158" t="n">
        <f aca="false">Amortize!K14</f>
        <v>0.0502420199217979</v>
      </c>
      <c r="L17" s="158" t="n">
        <f aca="false">Amortize!L14</f>
        <v>0.0174796823282432</v>
      </c>
      <c r="M17" s="158" t="n">
        <f aca="false">Amortize!M14</f>
        <v>0.0224628079319604</v>
      </c>
      <c r="N17" s="158" t="n">
        <f aca="false">Amortize!N14</f>
        <v>0.0362826941230965</v>
      </c>
      <c r="O17" s="158" t="n">
        <f aca="false">Amortize!O14</f>
        <v>0.0137286838275377</v>
      </c>
      <c r="P17" s="158" t="n">
        <f aca="false">Amortize!P14</f>
        <v>0.020860085624086</v>
      </c>
      <c r="Q17" s="158" t="n">
        <f aca="false">Amortize!Q14</f>
        <v>0.0380720088816252</v>
      </c>
    </row>
    <row r="18" customFormat="false" ht="15" hidden="false" customHeight="false" outlineLevel="0" collapsed="false">
      <c r="A18" s="5" t="s">
        <v>1821</v>
      </c>
      <c r="B18" s="61" t="s">
        <v>807</v>
      </c>
      <c r="C18" s="159" t="n">
        <f aca="false">IF(AND(ISNUMBER(C17),ISNUMBER(Amortize!C13)),C17+Amortize!C13,"SLO 不可達")</f>
        <v>0.181283739728315</v>
      </c>
      <c r="D18" s="159" t="n">
        <f aca="false">IF(AND(ISNUMBER(D17),ISNUMBER(Amortize!D13)),D17+Amortize!D13,"SLO 不可達")</f>
        <v>0.259013557619436</v>
      </c>
      <c r="E18" s="159" t="n">
        <f aca="false">IF(AND(ISNUMBER(E17),ISNUMBER(Amortize!E13)),E17+Amortize!E13,"SLO 不可達")</f>
        <v>0.444813774605223</v>
      </c>
      <c r="F18" s="159" t="n">
        <f aca="false">IF(AND(ISNUMBER(F17),ISNUMBER(Amortize!F13)),F17+Amortize!F13,"SLO 不可達")</f>
        <v>0.0321744990795468</v>
      </c>
      <c r="G18" s="159" t="n">
        <f aca="false">IF(AND(ISNUMBER(G17),ISNUMBER(Amortize!G13)),G17+Amortize!G13,"SLO 不可達")</f>
        <v>0.0429560932413866</v>
      </c>
      <c r="H18" s="159" t="n">
        <f aca="false">IF(AND(ISNUMBER(H17),ISNUMBER(Amortize!H13)),H17+Amortize!H13,"SLO 不可達")</f>
        <v>0.0696645931541063</v>
      </c>
      <c r="I18" s="159" t="n">
        <f aca="false">IF(AND(ISNUMBER(I17),ISNUMBER(Amortize!I13)),I17+Amortize!I13,"SLO 不可達")</f>
        <v>0.0280907361641086</v>
      </c>
      <c r="J18" s="159" t="n">
        <f aca="false">IF(AND(ISNUMBER(J17),ISNUMBER(Amortize!J13)),J17+Amortize!J13,"SLO 不可達")</f>
        <v>0.0362776531141064</v>
      </c>
      <c r="K18" s="159" t="n">
        <f aca="false">IF(AND(ISNUMBER(K17),ISNUMBER(Amortize!K13)),K17+Amortize!K13,"SLO 不可達")</f>
        <v>0.0617568628624171</v>
      </c>
      <c r="L18" s="159" t="n">
        <f aca="false">IF(AND(ISNUMBER(L17),ISNUMBER(Amortize!L13)),L17+Amortize!L13,"SLO 不可達")</f>
        <v>0.019589084248297</v>
      </c>
      <c r="M18" s="159" t="n">
        <f aca="false">IF(AND(ISNUMBER(M17),ISNUMBER(Amortize!M13)),M17+Amortize!M13,"SLO 不可達")</f>
        <v>0.0251739331921266</v>
      </c>
      <c r="N18" s="159" t="n">
        <f aca="false">IF(AND(ISNUMBER(N17),ISNUMBER(Amortize!N13)),N17+Amortize!N13,"SLO 不可達")</f>
        <v>0.0406626009352869</v>
      </c>
      <c r="O18" s="159" t="n">
        <f aca="false">IF(AND(ISNUMBER(O17),ISNUMBER(Amortize!O13)),O17+Amortize!O13,"SLO 不可達")</f>
        <v>0.0147563579921895</v>
      </c>
      <c r="P18" s="159" t="n">
        <f aca="false">IF(AND(ISNUMBER(P17),ISNUMBER(Amortize!P13)),P17+Amortize!P13,"SLO 不可達")</f>
        <v>0.0224220094437953</v>
      </c>
      <c r="Q18" s="159" t="n">
        <f aca="false">IF(AND(ISNUMBER(Q17),ISNUMBER(Amortize!Q13)),Q17+Amortize!Q13,"SLO 不可達")</f>
        <v>0.0409233655962342</v>
      </c>
    </row>
    <row r="19" customFormat="false" ht="15" hidden="false" customHeight="false" outlineLevel="0" collapsed="false">
      <c r="A19" s="5" t="s">
        <v>1822</v>
      </c>
      <c r="B19" s="61" t="s">
        <v>807</v>
      </c>
      <c r="C19" s="158" t="n">
        <f aca="false">IF(AND(ISNUMBER(C17),ISNUMBER(Amortize!C15)),C17+Amortize!C15,"SLO 不可達")</f>
        <v>0.354146336247859</v>
      </c>
      <c r="D19" s="158" t="n">
        <f aca="false">IF(AND(ISNUMBER(D17),ISNUMBER(Amortize!D15)),D17+Amortize!D15,"SLO 不可達")</f>
        <v>0.505992946801429</v>
      </c>
      <c r="E19" s="158" t="n">
        <f aca="false">IF(AND(ISNUMBER(E17),ISNUMBER(Amortize!E15)),E17+Amortize!E15,"SLO 不可達")</f>
        <v>0.868957044169172</v>
      </c>
      <c r="F19" s="158" t="n">
        <f aca="false">IF(AND(ISNUMBER(F17),ISNUMBER(Amortize!F15)),F17+Amortize!F15,"SLO 不可達")</f>
        <v>0.0636431384567943</v>
      </c>
      <c r="G19" s="158" t="n">
        <f aca="false">IF(AND(ISNUMBER(G17),ISNUMBER(Amortize!G15)),G17+Amortize!G15,"SLO 不可達")</f>
        <v>0.0849681211398214</v>
      </c>
      <c r="H19" s="158" t="n">
        <f aca="false">IF(AND(ISNUMBER(H17),ISNUMBER(Amortize!H15)),H17+Amortize!H15,"SLO 不可達")</f>
        <v>0.13779503055404</v>
      </c>
      <c r="I19" s="158" t="n">
        <f aca="false">IF(AND(ISNUMBER(I17),ISNUMBER(Amortize!I15)),I17+Amortize!I15,"SLO 不可達")</f>
        <v>0.055741936998538</v>
      </c>
      <c r="J19" s="158" t="n">
        <f aca="false">IF(AND(ISNUMBER(J17),ISNUMBER(Amortize!J15)),J17+Amortize!J15,"SLO 不可達")</f>
        <v>0.0719862343532289</v>
      </c>
      <c r="K19" s="158" t="n">
        <f aca="false">IF(AND(ISNUMBER(K17),ISNUMBER(Amortize!K15)),K17+Amortize!K15,"SLO 不可達")</f>
        <v>0.122541512004385</v>
      </c>
      <c r="L19" s="158" t="n">
        <f aca="false">IF(AND(ISNUMBER(L17),ISNUMBER(Amortize!L15)),L17+Amortize!L15,"SLO 不可達")</f>
        <v>0.0426333715323005</v>
      </c>
      <c r="M19" s="158" t="n">
        <f aca="false">IF(AND(ISNUMBER(M17),ISNUMBER(Amortize!M15)),M17+Amortize!M15,"SLO 不可達")</f>
        <v>0.0547873364194157</v>
      </c>
      <c r="N19" s="158" t="n">
        <f aca="false">IF(AND(ISNUMBER(N17),ISNUMBER(Amortize!N15)),N17+Amortize!N15,"SLO 不可達")</f>
        <v>0.0884943759099914</v>
      </c>
      <c r="O19" s="158" t="n">
        <f aca="false">IF(AND(ISNUMBER(O17),ISNUMBER(Amortize!O15)),O17+Amortize!O15,"SLO 不可達")</f>
        <v>0.0334845947013115</v>
      </c>
      <c r="P19" s="158" t="n">
        <f aca="false">IF(AND(ISNUMBER(P17),ISNUMBER(Amortize!P15)),P17+Amortize!P15,"SLO 不可達")</f>
        <v>0.0508782576197221</v>
      </c>
      <c r="Q19" s="158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1823</v>
      </c>
      <c r="B20" s="61" t="s">
        <v>807</v>
      </c>
      <c r="C20" s="159" t="n">
        <f aca="false">IF(AND(ISNUMBER(C17),ISNUMBER(Amortize!C43)),C17+Amortize!C43,"SLO 不可達")</f>
        <v>0.644120923640102</v>
      </c>
      <c r="D20" s="159" t="n">
        <f aca="false">IF(AND(ISNUMBER(D17),ISNUMBER(Amortize!D43)),D17+Amortize!D43,"SLO 不可達")</f>
        <v>0.920304567640832</v>
      </c>
      <c r="E20" s="159" t="n">
        <f aca="false">IF(AND(ISNUMBER(E17),ISNUMBER(Amortize!E43)),E17+Amortize!E43,"SLO 不可達")</f>
        <v>1.58047568826716</v>
      </c>
      <c r="F20" s="159" t="n">
        <f aca="false">IF(AND(ISNUMBER(F17),ISNUMBER(Amortize!F43)),F17+Amortize!F43,"SLO 不可達")</f>
        <v>0.0549066744319596</v>
      </c>
      <c r="G20" s="159" t="n">
        <f aca="false">IF(AND(ISNUMBER(G17),ISNUMBER(Amortize!G43)),G17+Amortize!G43,"SLO 不可達")</f>
        <v>0.0733049419446403</v>
      </c>
      <c r="H20" s="159" t="n">
        <f aca="false">IF(AND(ISNUMBER(H17),ISNUMBER(Amortize!H43)),H17+Amortize!H43,"SLO 不可達")</f>
        <v>0.118881701640887</v>
      </c>
      <c r="I20" s="159" t="n">
        <f aca="false">IF(AND(ISNUMBER(I17),ISNUMBER(Amortize!I43)),I17+Amortize!I43,"SLO 不可達")</f>
        <v>0.049793847389683</v>
      </c>
      <c r="J20" s="159" t="n">
        <f aca="false">IF(AND(ISNUMBER(J17),ISNUMBER(Amortize!J43)),J17+Amortize!J43,"SLO 不可達")</f>
        <v>0.0643055377815363</v>
      </c>
      <c r="K20" s="159" t="n">
        <f aca="false">IF(AND(ISNUMBER(K17),ISNUMBER(Amortize!K43)),K17+Amortize!K43,"SLO 不可達")</f>
        <v>0.109468619996102</v>
      </c>
      <c r="L20" s="159" t="n">
        <f aca="false">IF(AND(ISNUMBER(L17),ISNUMBER(Amortize!L43)),L17+Amortize!L43,"SLO 不可達")</f>
        <v>0.0347350583568751</v>
      </c>
      <c r="M20" s="159" t="n">
        <f aca="false">IF(AND(ISNUMBER(M17),ISNUMBER(Amortize!M43)),M17+Amortize!M43,"SLO 不可達")</f>
        <v>0.0446375992677688</v>
      </c>
      <c r="N20" s="159" t="n">
        <f aca="false">IF(AND(ISNUMBER(N17),ISNUMBER(Amortize!N43)),N17+Amortize!N43,"SLO 不可達")</f>
        <v>0.0721006815327499</v>
      </c>
      <c r="O20" s="159" t="n">
        <f aca="false">IF(AND(ISNUMBER(O17),ISNUMBER(Amortize!O43)),O17+Amortize!O43,"SLO 不可達")</f>
        <v>0.0260531870036248</v>
      </c>
      <c r="P20" s="159" t="n">
        <f aca="false">IF(AND(ISNUMBER(P17),ISNUMBER(Amortize!P43)),P17+Amortize!P43,"SLO 不可達")</f>
        <v>0.0395868190529953</v>
      </c>
      <c r="Q20" s="159" t="n">
        <f aca="false">IF(AND(ISNUMBER(Q17),ISNUMBER(Amortize!Q43)),Q17+Amortize!Q43,"SLO 不可達")</f>
        <v>0.0722507809044062</v>
      </c>
    </row>
    <row r="21" customFormat="false" ht="29.85" hidden="false" customHeight="false" outlineLevel="0" collapsed="false">
      <c r="A21" s="5" t="s">
        <v>1824</v>
      </c>
      <c r="B21" s="61" t="s">
        <v>99</v>
      </c>
      <c r="C21" s="85" t="n">
        <f aca="false">IF(ISNUMBER(C17),1-C17/INDEX(B4_EffRef,1,1),"SLO 不可達")</f>
        <v>-0.806968999937221</v>
      </c>
      <c r="D21" s="85" t="n">
        <f aca="false">IF(ISNUMBER(D17),1-D17/INDEX(B4_EffRef,1,1),"SLO 不可達")</f>
        <v>-1.58173945478052</v>
      </c>
      <c r="E21" s="85" t="n">
        <f aca="false">IF(ISNUMBER(E17),1-E17/INDEX(B4_EffRef,1,1),"SLO 不可達")</f>
        <v>-3.43369952016627</v>
      </c>
      <c r="F21" s="85" t="n">
        <f aca="false">IF(ISNUMBER(F17),1-F17/INDEX(B4_EffRef,1,1),"SLO 不可達")</f>
        <v>0.6752721502965</v>
      </c>
      <c r="G21" s="85" t="n">
        <f aca="false">IF(ISNUMBER(G17),1-G17/INDEX(B4_EffRef,1,1),"SLO 不可達")</f>
        <v>0.566465200489573</v>
      </c>
      <c r="H21" s="85" t="n">
        <f aca="false">IF(ISNUMBER(H17),1-H17/INDEX(B4_EffRef,1,1),"SLO 不可達")</f>
        <v>0.296925245098993</v>
      </c>
      <c r="I21" s="85" t="n">
        <f aca="false">IF(ISNUMBER(I17),1-I17/INDEX(B4_EffRef,1,1),"SLO 不可達")</f>
        <v>0.715586632294517</v>
      </c>
      <c r="J21" s="85" t="n">
        <f aca="false">IF(ISNUMBER(J17),1-J17/INDEX(B4_EffRef,1,1),"SLO 不可達")</f>
        <v>0.632702980139084</v>
      </c>
      <c r="K21" s="85" t="n">
        <f aca="false">IF(ISNUMBER(K17),1-K17/INDEX(B4_EffRef,1,1),"SLO 不可達")</f>
        <v>0.374753623760811</v>
      </c>
      <c r="L21" s="85" t="n">
        <f aca="false">IF(ISNUMBER(L17),1-L17/INDEX(B4_EffRef,1,1),"SLO 不可達")</f>
        <v>0.782470767485911</v>
      </c>
      <c r="M21" s="85" t="n">
        <f aca="false">IF(ISNUMBER(M17),1-M17/INDEX(B4_EffRef,1,1),"SLO 不可達")</f>
        <v>0.720457312793634</v>
      </c>
      <c r="N21" s="85" t="n">
        <f aca="false">IF(ISNUMBER(N17),1-N17/INDEX(B4_EffRef,1,1),"SLO 不可達")</f>
        <v>0.548473109640669</v>
      </c>
      <c r="O21" s="85" t="n">
        <f aca="false">IF(ISNUMBER(O17),1-O17/INDEX(B4_EffRef,1,1),"SLO 不可達")</f>
        <v>0.829150782013496</v>
      </c>
      <c r="P21" s="85" t="n">
        <f aca="false">IF(ISNUMBER(P17),1-P17/INDEX(B4_EffRef,1,1),"SLO 不可達")</f>
        <v>0.740402695496717</v>
      </c>
      <c r="Q21" s="85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1825</v>
      </c>
      <c r="B22" s="61" t="s">
        <v>99</v>
      </c>
      <c r="C22" s="85" t="n">
        <f aca="false">IF(ISNUMBER(C18),1-C18/INDEX(B4_EffRef,1,1),"SLO 不可達")</f>
        <v>-1.25601999108799</v>
      </c>
      <c r="D22" s="85" t="n">
        <f aca="false">IF(ISNUMBER(D18),1-D18/INDEX(B4_EffRef,1,1),"SLO 不可達")</f>
        <v>-2.22334349913568</v>
      </c>
      <c r="E22" s="85" t="n">
        <f aca="false">IF(ISNUMBER(E18),1-E18/INDEX(B4_EffRef,1,1),"SLO 不可達")</f>
        <v>-4.53556965078402</v>
      </c>
      <c r="F22" s="85" t="n">
        <f aca="false">IF(ISNUMBER(F18),1-F18/INDEX(B4_EffRef,1,1),"SLO 不可達")</f>
        <v>0.599598324507853</v>
      </c>
      <c r="G22" s="85" t="n">
        <f aca="false">IF(ISNUMBER(G18),1-G18/INDEX(B4_EffRef,1,1),"SLO 不可達")</f>
        <v>0.465424724595577</v>
      </c>
      <c r="H22" s="85" t="n">
        <f aca="false">IF(ISNUMBER(H18),1-H18/INDEX(B4_EffRef,1,1),"SLO 不可達")</f>
        <v>0.133045715726</v>
      </c>
      <c r="I22" s="85" t="n">
        <f aca="false">IF(ISNUMBER(I18),1-I18/INDEX(B4_EffRef,1,1),"SLO 不可達")</f>
        <v>0.650419489108162</v>
      </c>
      <c r="J22" s="85" t="n">
        <f aca="false">IF(ISNUMBER(J18),1-J18/INDEX(B4_EffRef,1,1),"SLO 不可達")</f>
        <v>0.548535843436176</v>
      </c>
      <c r="K22" s="85" t="n">
        <f aca="false">IF(ISNUMBER(K18),1-K18/INDEX(B4_EffRef,1,1),"SLO 不可達")</f>
        <v>0.231454969909079</v>
      </c>
      <c r="L22" s="85" t="n">
        <f aca="false">IF(ISNUMBER(L18),1-L18/INDEX(B4_EffRef,1,1),"SLO 不可達")</f>
        <v>0.756219913945418</v>
      </c>
      <c r="M22" s="85" t="n">
        <f aca="false">IF(ISNUMBER(M18),1-M18/INDEX(B4_EffRef,1,1),"SLO 不可達")</f>
        <v>0.686718198659929</v>
      </c>
      <c r="N22" s="85" t="n">
        <f aca="false">IF(ISNUMBER(N18),1-N18/INDEX(B4_EffRef,1,1),"SLO 不可達")</f>
        <v>0.493966525971264</v>
      </c>
      <c r="O22" s="85" t="n">
        <f aca="false">IF(ISNUMBER(O18),1-O18/INDEX(B4_EffRef,1,1),"SLO 不可達")</f>
        <v>0.816361695340562</v>
      </c>
      <c r="P22" s="85" t="n">
        <f aca="false">IF(ISNUMBER(P18),1-P18/INDEX(B4_EffRef,1,1),"SLO 不可達")</f>
        <v>0.720965037342149</v>
      </c>
      <c r="Q22" s="85" t="n">
        <f aca="false">IF(ISNUMBER(Q18),1-Q18/INDEX(B4_EffRef,1,1),"SLO 不可達")</f>
        <v>0.49072139053359</v>
      </c>
    </row>
    <row r="23" customFormat="false" ht="15" hidden="false" customHeight="false" outlineLevel="0" collapsed="false">
      <c r="A23" s="5" t="s">
        <v>1826</v>
      </c>
      <c r="B23" s="61" t="s">
        <v>99</v>
      </c>
      <c r="C23" s="85" t="n">
        <f aca="false">IF(ISNUMBER(C19),1-C19/INDEX(B4_EffRef,1,1),"SLO 不可達")</f>
        <v>-3.40724146326152</v>
      </c>
      <c r="D23" s="85" t="n">
        <f aca="false">IF(ISNUMBER(D19),1-D19/INDEX(B4_EffRef,1,1),"SLO 不可達")</f>
        <v>-5.29692549946468</v>
      </c>
      <c r="E23" s="85" t="n">
        <f aca="false">IF(ISNUMBER(E19),1-E19/INDEX(B4_EffRef,1,1),"SLO 不可達")</f>
        <v>-9.81390126869822</v>
      </c>
      <c r="F23" s="85" t="n">
        <f aca="false">IF(ISNUMBER(F19),1-F19/INDEX(B4_EffRef,1,1),"SLO 不可達")</f>
        <v>0.207980854381708</v>
      </c>
      <c r="G23" s="85" t="n">
        <f aca="false">IF(ISNUMBER(G19),1-G19/INDEX(B4_EffRef,1,1),"SLO 不可達")</f>
        <v>-0.0574019500254326</v>
      </c>
      <c r="H23" s="85" t="n">
        <f aca="false">IF(ISNUMBER(H19),1-H19/INDEX(B4_EffRef,1,1),"SLO 不可達")</f>
        <v>-0.714816475368311</v>
      </c>
      <c r="I23" s="85" t="n">
        <f aca="false">IF(ISNUMBER(I19),1-I19/INDEX(B4_EffRef,1,1),"SLO 不可達")</f>
        <v>0.30630885925492</v>
      </c>
      <c r="J23" s="85" t="n">
        <f aca="false">IF(ISNUMBER(J19),1-J19/INDEX(B4_EffRef,1,1),"SLO 不可達")</f>
        <v>0.104153610095327</v>
      </c>
      <c r="K23" s="85" t="n">
        <f aca="false">IF(ISNUMBER(K19),1-K19/INDEX(B4_EffRef,1,1),"SLO 不可達")</f>
        <v>-0.524991161558997</v>
      </c>
      <c r="L23" s="85" t="n">
        <f aca="false">IF(ISNUMBER(L19),1-L19/INDEX(B4_EffRef,1,1),"SLO 不可達")</f>
        <v>0.469440896307101</v>
      </c>
      <c r="M23" s="85" t="n">
        <f aca="false">IF(ISNUMBER(M19),1-M19/INDEX(B4_EffRef,1,1),"SLO 不可達")</f>
        <v>0.318188567789351</v>
      </c>
      <c r="N23" s="85" t="n">
        <f aca="false">IF(ISNUMBER(N19),1-N19/INDEX(B4_EffRef,1,1),"SLO 不可達")</f>
        <v>-0.101285098437393</v>
      </c>
      <c r="O23" s="85" t="n">
        <f aca="false">IF(ISNUMBER(O19),1-O19/INDEX(B4_EffRef,1,1),"SLO 不可達")</f>
        <v>0.58329459027682</v>
      </c>
      <c r="P23" s="85" t="n">
        <f aca="false">IF(ISNUMBER(P19),1-P19/INDEX(B4_EffRef,1,1),"SLO 不可達")</f>
        <v>0.366835842674919</v>
      </c>
      <c r="Q23" s="85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1827</v>
      </c>
      <c r="B24" s="61" t="s">
        <v>99</v>
      </c>
      <c r="C24" s="118" t="n">
        <f aca="false">IF(ISNUMBER(C20),1-C20/INDEX(B4_EffRef,1,1),"SLO 不可達")</f>
        <v>-7.01588538822029</v>
      </c>
      <c r="D24" s="118" t="n">
        <f aca="false">IF(ISNUMBER(D20),1-D20/INDEX(B4_EffRef,1,1),"SLO 不可達")</f>
        <v>-10.4529052942028</v>
      </c>
      <c r="E24" s="118" t="n">
        <f aca="false">IF(ISNUMBER(E20),1-E20/INDEX(B4_EffRef,1,1),"SLO 不可達")</f>
        <v>-18.6685304126167</v>
      </c>
      <c r="F24" s="118" t="n">
        <f aca="false">IF(ISNUMBER(F20),1-F20/INDEX(B4_EffRef,1,1),"SLO 不可達")</f>
        <v>0.316703443186343</v>
      </c>
      <c r="G24" s="118" t="n">
        <f aca="false">IF(ISNUMBER(G20),1-G20/INDEX(B4_EffRef,1,1),"SLO 不可達")</f>
        <v>0.0877427025694658</v>
      </c>
      <c r="H24" s="118" t="n">
        <f aca="false">IF(ISNUMBER(H20),1-H20/INDEX(B4_EffRef,1,1),"SLO 不可達")</f>
        <v>-0.479445955154842</v>
      </c>
      <c r="I24" s="118" t="n">
        <f aca="false">IF(ISNUMBER(I20),1-I20/INDEX(B4_EffRef,1,1),"SLO 不可達")</f>
        <v>0.380330992108481</v>
      </c>
      <c r="J24" s="118" t="n">
        <f aca="false">IF(ISNUMBER(J20),1-J20/INDEX(B4_EffRef,1,1),"SLO 不可達")</f>
        <v>0.199737499953226</v>
      </c>
      <c r="K24" s="118" t="n">
        <f aca="false">IF(ISNUMBER(K20),1-K20/INDEX(B4_EffRef,1,1),"SLO 不可達")</f>
        <v>-0.362303069641762</v>
      </c>
      <c r="L24" s="118" t="n">
        <f aca="false">IF(ISNUMBER(L20),1-L20/INDEX(B4_EffRef,1,1),"SLO 不可達")</f>
        <v>0.567732957395083</v>
      </c>
      <c r="M24" s="118" t="n">
        <f aca="false">IF(ISNUMBER(M20),1-M20/INDEX(B4_EffRef,1,1),"SLO 不可達")</f>
        <v>0.4444989029177</v>
      </c>
      <c r="N24" s="118" t="n">
        <f aca="false">IF(ISNUMBER(N20),1-N20/INDEX(B4_EffRef,1,1),"SLO 不可達")</f>
        <v>0.102729350394429</v>
      </c>
      <c r="O24" s="118" t="n">
        <f aca="false">IF(ISNUMBER(O20),1-O20/INDEX(B4_EffRef,1,1),"SLO 不可達")</f>
        <v>0.675776157311085</v>
      </c>
      <c r="P24" s="118" t="n">
        <f aca="false">IF(ISNUMBER(P20),1-P20/INDEX(B4_EffRef,1,1),"SLO 不可達")</f>
        <v>0.507354298289605</v>
      </c>
      <c r="Q24" s="118" t="n">
        <f aca="false">IF(ISNUMBER(Q20),1-Q20/INDEX(B4_EffRef,1,1),"SLO 不可達")</f>
        <v>0.100861410205122</v>
      </c>
    </row>
    <row r="25" customFormat="false" ht="15" hidden="false" customHeight="false" outlineLevel="0" collapsed="false">
      <c r="A25" s="5" t="s">
        <v>1828</v>
      </c>
      <c r="B25" s="61" t="s">
        <v>99</v>
      </c>
      <c r="C25" s="85" t="n">
        <f aca="false">IF(ISNUMBER(C19),1-C19/INDEX(B4_FrontRef,1,1),"SLO 不可達")</f>
        <v>-3.40724146326152</v>
      </c>
      <c r="D25" s="85" t="n">
        <f aca="false">IF(ISNUMBER(D19),1-D19/INDEX(B4_FrontRef,1,1),"SLO 不可達")</f>
        <v>-5.29692549946468</v>
      </c>
      <c r="E25" s="85" t="n">
        <f aca="false">IF(ISNUMBER(E19),1-E19/INDEX(B4_FrontRef,1,1),"SLO 不可達")</f>
        <v>-9.81390126869822</v>
      </c>
      <c r="F25" s="85" t="n">
        <f aca="false">IF(ISNUMBER(F19),1-F19/INDEX(B4_FrontRef,1,1),"SLO 不可達")</f>
        <v>0.207980854381708</v>
      </c>
      <c r="G25" s="85" t="n">
        <f aca="false">IF(ISNUMBER(G19),1-G19/INDEX(B4_FrontRef,1,1),"SLO 不可達")</f>
        <v>-0.0574019500254328</v>
      </c>
      <c r="H25" s="85" t="n">
        <f aca="false">IF(ISNUMBER(H19),1-H19/INDEX(B4_FrontRef,1,1),"SLO 不可達")</f>
        <v>-0.714816475368311</v>
      </c>
      <c r="I25" s="85" t="n">
        <f aca="false">IF(ISNUMBER(I19),1-I19/INDEX(B4_FrontRef,1,1),"SLO 不可達")</f>
        <v>0.30630885925492</v>
      </c>
      <c r="J25" s="85" t="n">
        <f aca="false">IF(ISNUMBER(J19),1-J19/INDEX(B4_FrontRef,1,1),"SLO 不可達")</f>
        <v>0.104153610095327</v>
      </c>
      <c r="K25" s="85" t="n">
        <f aca="false">IF(ISNUMBER(K19),1-K19/INDEX(B4_FrontRef,1,1),"SLO 不可達")</f>
        <v>-0.524991161558997</v>
      </c>
      <c r="L25" s="85" t="n">
        <f aca="false">IF(ISNUMBER(L19),1-L19/INDEX(B4_FrontRef,1,1),"SLO 不可達")</f>
        <v>0.469440896307101</v>
      </c>
      <c r="M25" s="85" t="n">
        <f aca="false">IF(ISNUMBER(M19),1-M19/INDEX(B4_FrontRef,1,1),"SLO 不可達")</f>
        <v>0.318188567789351</v>
      </c>
      <c r="N25" s="85" t="n">
        <f aca="false">IF(ISNUMBER(N19),1-N19/INDEX(B4_FrontRef,1,1),"SLO 不可達")</f>
        <v>-0.101285098437393</v>
      </c>
      <c r="O25" s="85" t="n">
        <f aca="false">IF(ISNUMBER(O19),1-O19/INDEX(B4_FrontRef,1,1),"SLO 不可達")</f>
        <v>0.58329459027682</v>
      </c>
      <c r="P25" s="85" t="n">
        <f aca="false">IF(ISNUMBER(P19),1-P19/INDEX(B4_FrontRef,1,1),"SLO 不可達")</f>
        <v>0.366835842674919</v>
      </c>
      <c r="Q25" s="85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5" t="s">
        <v>1829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5" t="s">
        <v>1812</v>
      </c>
      <c r="B28" s="61" t="s">
        <v>799</v>
      </c>
      <c r="C28" s="67" t="n">
        <f aca="false">IF(ISNUMBER(INDEX(IF_TokGW_Sol,1,C$7)),INDEX(IF_TokGW_Sol,1,C$7)*IF_Util,INDEX(IF_TokGW_Sol,1,C$7))</f>
        <v>11157967459.971</v>
      </c>
      <c r="D28" s="67" t="n">
        <f aca="false">IF(ISNUMBER(INDEX(IF_TokGW_Sol,1,D$7)),INDEX(IF_TokGW_Sol,1,D$7)*IF_Util,INDEX(IF_TokGW_Sol,1,D$7))</f>
        <v>11157967459.971</v>
      </c>
      <c r="E28" s="67" t="n">
        <f aca="false">IF(ISNUMBER(INDEX(IF_TokGW_Sol,1,E$7)),INDEX(IF_TokGW_Sol,1,E$7)*IF_Util,INDEX(IF_TokGW_Sol,1,E$7))</f>
        <v>11157967459.971</v>
      </c>
      <c r="F28" s="67" t="n">
        <f aca="false">IF(ISNUMBER(INDEX(IF_TokGW_Sol,1,F$7)),INDEX(IF_TokGW_Sol,1,F$7)*IF_Util,INDEX(IF_TokGW_Sol,1,F$7))</f>
        <v>62475240648.4001</v>
      </c>
      <c r="G28" s="67" t="n">
        <f aca="false">IF(ISNUMBER(INDEX(IF_TokGW_Sol,1,G$7)),INDEX(IF_TokGW_Sol,1,G$7)*IF_Util,INDEX(IF_TokGW_Sol,1,G$7))</f>
        <v>62475240648.4001</v>
      </c>
      <c r="H28" s="67" t="n">
        <f aca="false">IF(ISNUMBER(INDEX(IF_TokGW_Sol,1,H$7)),INDEX(IF_TokGW_Sol,1,H$7)*IF_Util,INDEX(IF_TokGW_Sol,1,H$7))</f>
        <v>62475240648.4001</v>
      </c>
      <c r="I28" s="67" t="n">
        <f aca="false">IF(ISNUMBER(INDEX(IF_TokGW_Sol,1,I$7)),INDEX(IF_TokGW_Sol,1,I$7)*IF_Util,INDEX(IF_TokGW_Sol,1,I$7))</f>
        <v>90956204852.7288</v>
      </c>
      <c r="J28" s="67" t="n">
        <f aca="false">IF(ISNUMBER(INDEX(IF_TokGW_Sol,1,J$7)),INDEX(IF_TokGW_Sol,1,J$7)*IF_Util,INDEX(IF_TokGW_Sol,1,J$7))</f>
        <v>90956204852.7288</v>
      </c>
      <c r="K28" s="67" t="n">
        <f aca="false">IF(ISNUMBER(INDEX(IF_TokGW_Sol,1,K$7)),INDEX(IF_TokGW_Sol,1,K$7)*IF_Util,INDEX(IF_TokGW_Sol,1,K$7))</f>
        <v>90956204852.7288</v>
      </c>
      <c r="L28" s="67" t="n">
        <f aca="false">IF(ISNUMBER(INDEX(IF_TokGW_Sol,1,L$7)),INDEX(IF_TokGW_Sol,1,L$7)*IF_Util,INDEX(IF_TokGW_Sol,1,L$7))</f>
        <v>142372403240.994</v>
      </c>
      <c r="M28" s="67" t="n">
        <f aca="false">IF(ISNUMBER(INDEX(IF_TokGW_Sol,1,M$7)),INDEX(IF_TokGW_Sol,1,M$7)*IF_Util,INDEX(IF_TokGW_Sol,1,M$7))</f>
        <v>142372403240.994</v>
      </c>
      <c r="N28" s="67" t="n">
        <f aca="false">IF(ISNUMBER(INDEX(IF_TokGW_Sol,1,N$7)),INDEX(IF_TokGW_Sol,1,N$7)*IF_Util,INDEX(IF_TokGW_Sol,1,N$7))</f>
        <v>142372403240.994</v>
      </c>
      <c r="O28" s="67" t="n">
        <f aca="false">IF(ISNUMBER(INDEX(IF_TokGW_Sol,1,O$7)),INDEX(IF_TokGW_Sol,1,O$7)*IF_Util,INDEX(IF_TokGW_Sol,1,O$7))</f>
        <v>195711402313.41</v>
      </c>
      <c r="P28" s="67" t="n">
        <f aca="false">IF(ISNUMBER(INDEX(IF_TokGW_Sol,1,P$7)),INDEX(IF_TokGW_Sol,1,P$7)*IF_Util,INDEX(IF_TokGW_Sol,1,P$7))</f>
        <v>195711402313.41</v>
      </c>
      <c r="Q28" s="67" t="n">
        <f aca="false">IF(ISNUMBER(INDEX(IF_TokGW_Sol,1,Q$7)),INDEX(IF_TokGW_Sol,1,Q$7)*IF_Util,INDEX(IF_TokGW_Sol,1,Q$7))</f>
        <v>195711402313.41</v>
      </c>
    </row>
    <row r="29" customFormat="false" ht="15" hidden="false" customHeight="false" outlineLevel="0" collapsed="false">
      <c r="A29" s="5" t="s">
        <v>1830</v>
      </c>
      <c r="B29" s="61" t="s">
        <v>1814</v>
      </c>
      <c r="C29" s="112" t="n">
        <f aca="false">IF(ISNUMBER(C28),C28*INDEX(B4_EffRef,1,2)/1000000000,C28)</f>
        <v>17.9320934823355</v>
      </c>
      <c r="D29" s="112" t="n">
        <f aca="false">IF(ISNUMBER(D28),D28*INDEX(B4_EffRef,1,2)/1000000000,D28)</f>
        <v>17.9320934823355</v>
      </c>
      <c r="E29" s="112" t="n">
        <f aca="false">IF(ISNUMBER(E28),E28*INDEX(B4_EffRef,1,2)/1000000000,E28)</f>
        <v>17.9320934823355</v>
      </c>
      <c r="F29" s="112" t="n">
        <f aca="false">IF(ISNUMBER(F28),F28*INDEX(B4_EffRef,1,2)/1000000000,F28)</f>
        <v>100.404653415384</v>
      </c>
      <c r="G29" s="112" t="n">
        <f aca="false">IF(ISNUMBER(G28),G28*INDEX(B4_EffRef,1,2)/1000000000,G28)</f>
        <v>100.404653415384</v>
      </c>
      <c r="H29" s="112" t="n">
        <f aca="false">IF(ISNUMBER(H28),H28*INDEX(B4_EffRef,1,2)/1000000000,H28)</f>
        <v>100.404653415384</v>
      </c>
      <c r="I29" s="112" t="n">
        <f aca="false">IF(ISNUMBER(I28),I28*INDEX(B4_EffRef,1,2)/1000000000,I28)</f>
        <v>146.176727443319</v>
      </c>
      <c r="J29" s="112" t="n">
        <f aca="false">IF(ISNUMBER(J28),J28*INDEX(B4_EffRef,1,2)/1000000000,J28)</f>
        <v>146.176727443319</v>
      </c>
      <c r="K29" s="112" t="n">
        <f aca="false">IF(ISNUMBER(K28),K28*INDEX(B4_EffRef,1,2)/1000000000,K28)</f>
        <v>146.176727443319</v>
      </c>
      <c r="L29" s="112" t="n">
        <f aca="false">IF(ISNUMBER(L28),L28*INDEX(B4_EffRef,1,2)/1000000000,L28)</f>
        <v>228.808271164193</v>
      </c>
      <c r="M29" s="112" t="n">
        <f aca="false">IF(ISNUMBER(M28),M28*INDEX(B4_EffRef,1,2)/1000000000,M28)</f>
        <v>228.808271164193</v>
      </c>
      <c r="N29" s="112" t="n">
        <f aca="false">IF(ISNUMBER(N28),N28*INDEX(B4_EffRef,1,2)/1000000000,N28)</f>
        <v>228.808271164193</v>
      </c>
      <c r="O29" s="112" t="n">
        <f aca="false">IF(ISNUMBER(O28),O28*INDEX(B4_EffRef,1,2)/1000000000,O28)</f>
        <v>314.529969229019</v>
      </c>
      <c r="P29" s="112" t="n">
        <f aca="false">IF(ISNUMBER(P28),P28*INDEX(B4_EffRef,1,2)/1000000000,P28)</f>
        <v>314.529969229019</v>
      </c>
      <c r="Q29" s="112" t="n">
        <f aca="false">IF(ISNUMBER(Q28),Q28*INDEX(B4_EffRef,1,2)/1000000000,Q28)</f>
        <v>314.529969229019</v>
      </c>
    </row>
    <row r="30" customFormat="false" ht="15" hidden="false" customHeight="false" outlineLevel="0" collapsed="false">
      <c r="A30" s="5" t="s">
        <v>1831</v>
      </c>
      <c r="B30" s="61" t="s">
        <v>1814</v>
      </c>
      <c r="C30" s="74" t="n">
        <f aca="false">IF(ISNUMBER(C28),C28*INDEX(B4_FrontRef,1,2)/1000000000,C28)</f>
        <v>17.9320934823355</v>
      </c>
      <c r="D30" s="74" t="n">
        <f aca="false">IF(ISNUMBER(D28),D28*INDEX(B4_FrontRef,1,2)/1000000000,D28)</f>
        <v>17.9320934823355</v>
      </c>
      <c r="E30" s="74" t="n">
        <f aca="false">IF(ISNUMBER(E28),E28*INDEX(B4_FrontRef,1,2)/1000000000,E28)</f>
        <v>17.9320934823355</v>
      </c>
      <c r="F30" s="74" t="n">
        <f aca="false">IF(ISNUMBER(F28),F28*INDEX(B4_FrontRef,1,2)/1000000000,F28)</f>
        <v>100.404653415384</v>
      </c>
      <c r="G30" s="74" t="n">
        <f aca="false">IF(ISNUMBER(G28),G28*INDEX(B4_FrontRef,1,2)/1000000000,G28)</f>
        <v>100.404653415384</v>
      </c>
      <c r="H30" s="74" t="n">
        <f aca="false">IF(ISNUMBER(H28),H28*INDEX(B4_FrontRef,1,2)/1000000000,H28)</f>
        <v>100.404653415384</v>
      </c>
      <c r="I30" s="74" t="n">
        <f aca="false">IF(ISNUMBER(I28),I28*INDEX(B4_FrontRef,1,2)/1000000000,I28)</f>
        <v>146.176727443319</v>
      </c>
      <c r="J30" s="74" t="n">
        <f aca="false">IF(ISNUMBER(J28),J28*INDEX(B4_FrontRef,1,2)/1000000000,J28)</f>
        <v>146.176727443319</v>
      </c>
      <c r="K30" s="74" t="n">
        <f aca="false">IF(ISNUMBER(K28),K28*INDEX(B4_FrontRef,1,2)/1000000000,K28)</f>
        <v>146.176727443319</v>
      </c>
      <c r="L30" s="74" t="n">
        <f aca="false">IF(ISNUMBER(L28),L28*INDEX(B4_FrontRef,1,2)/1000000000,L28)</f>
        <v>228.808271164193</v>
      </c>
      <c r="M30" s="74" t="n">
        <f aca="false">IF(ISNUMBER(M28),M28*INDEX(B4_FrontRef,1,2)/1000000000,M28)</f>
        <v>228.808271164193</v>
      </c>
      <c r="N30" s="74" t="n">
        <f aca="false">IF(ISNUMBER(N28),N28*INDEX(B4_FrontRef,1,2)/1000000000,N28)</f>
        <v>228.808271164193</v>
      </c>
      <c r="O30" s="74" t="n">
        <f aca="false">IF(ISNUMBER(O28),O28*INDEX(B4_FrontRef,1,2)/1000000000,O28)</f>
        <v>314.529969229019</v>
      </c>
      <c r="P30" s="74" t="n">
        <f aca="false">IF(ISNUMBER(P28),P28*INDEX(B4_FrontRef,1,2)/1000000000,P28)</f>
        <v>314.529969229019</v>
      </c>
      <c r="Q30" s="74" t="n">
        <f aca="false">IF(ISNUMBER(Q28),Q28*INDEX(B4_FrontRef,1,2)/1000000000,Q28)</f>
        <v>314.529969229019</v>
      </c>
    </row>
    <row r="31" customFormat="false" ht="15" hidden="false" customHeight="false" outlineLevel="0" collapsed="false">
      <c r="A31" s="5" t="s">
        <v>1816</v>
      </c>
      <c r="B31" s="61" t="s">
        <v>1814</v>
      </c>
      <c r="C31" s="74" t="n">
        <f aca="false">IF(ISNUMBER(INDEX(IF_TokGW_Sol,1,C$7)),INDEX(IF_TokGW_Sol,1,C$7)*INDEX(B4_EffRef,1,2)/1000000000,INDEX(IF_TokGW_Sol,1,C$7))</f>
        <v>29.8868224705592</v>
      </c>
      <c r="D31" s="74" t="n">
        <f aca="false">IF(ISNUMBER(INDEX(IF_TokGW_Sol,1,D$7)),INDEX(IF_TokGW_Sol,1,D$7)*INDEX(B4_EffRef,1,2)/1000000000,INDEX(IF_TokGW_Sol,1,D$7))</f>
        <v>29.8868224705592</v>
      </c>
      <c r="E31" s="74" t="n">
        <f aca="false">IF(ISNUMBER(INDEX(IF_TokGW_Sol,1,E$7)),INDEX(IF_TokGW_Sol,1,E$7)*INDEX(B4_EffRef,1,2)/1000000000,INDEX(IF_TokGW_Sol,1,E$7))</f>
        <v>29.8868224705592</v>
      </c>
      <c r="F31" s="74" t="n">
        <f aca="false">IF(ISNUMBER(INDEX(IF_TokGW_Sol,1,F$7)),INDEX(IF_TokGW_Sol,1,F$7)*INDEX(B4_EffRef,1,2)/1000000000,INDEX(IF_TokGW_Sol,1,F$7))</f>
        <v>167.34108902564</v>
      </c>
      <c r="G31" s="74" t="n">
        <f aca="false">IF(ISNUMBER(INDEX(IF_TokGW_Sol,1,G$7)),INDEX(IF_TokGW_Sol,1,G$7)*INDEX(B4_EffRef,1,2)/1000000000,INDEX(IF_TokGW_Sol,1,G$7))</f>
        <v>167.34108902564</v>
      </c>
      <c r="H31" s="74" t="n">
        <f aca="false">IF(ISNUMBER(INDEX(IF_TokGW_Sol,1,H$7)),INDEX(IF_TokGW_Sol,1,H$7)*INDEX(B4_EffRef,1,2)/1000000000,INDEX(IF_TokGW_Sol,1,H$7))</f>
        <v>167.34108902564</v>
      </c>
      <c r="I31" s="74" t="n">
        <f aca="false">IF(ISNUMBER(INDEX(IF_TokGW_Sol,1,I$7)),INDEX(IF_TokGW_Sol,1,I$7)*INDEX(B4_EffRef,1,2)/1000000000,INDEX(IF_TokGW_Sol,1,I$7))</f>
        <v>243.627879072198</v>
      </c>
      <c r="J31" s="74" t="n">
        <f aca="false">IF(ISNUMBER(INDEX(IF_TokGW_Sol,1,J$7)),INDEX(IF_TokGW_Sol,1,J$7)*INDEX(B4_EffRef,1,2)/1000000000,INDEX(IF_TokGW_Sol,1,J$7))</f>
        <v>243.627879072198</v>
      </c>
      <c r="K31" s="74" t="n">
        <f aca="false">IF(ISNUMBER(INDEX(IF_TokGW_Sol,1,K$7)),INDEX(IF_TokGW_Sol,1,K$7)*INDEX(B4_EffRef,1,2)/1000000000,INDEX(IF_TokGW_Sol,1,K$7))</f>
        <v>243.627879072198</v>
      </c>
      <c r="L31" s="74" t="n">
        <f aca="false">IF(ISNUMBER(INDEX(IF_TokGW_Sol,1,L$7)),INDEX(IF_TokGW_Sol,1,L$7)*INDEX(B4_EffRef,1,2)/1000000000,INDEX(IF_TokGW_Sol,1,L$7))</f>
        <v>381.347118606988</v>
      </c>
      <c r="M31" s="74" t="n">
        <f aca="false">IF(ISNUMBER(INDEX(IF_TokGW_Sol,1,M$7)),INDEX(IF_TokGW_Sol,1,M$7)*INDEX(B4_EffRef,1,2)/1000000000,INDEX(IF_TokGW_Sol,1,M$7))</f>
        <v>381.347118606988</v>
      </c>
      <c r="N31" s="74" t="n">
        <f aca="false">IF(ISNUMBER(INDEX(IF_TokGW_Sol,1,N$7)),INDEX(IF_TokGW_Sol,1,N$7)*INDEX(B4_EffRef,1,2)/1000000000,INDEX(IF_TokGW_Sol,1,N$7))</f>
        <v>381.347118606988</v>
      </c>
      <c r="O31" s="74" t="n">
        <f aca="false">IF(ISNUMBER(INDEX(IF_TokGW_Sol,1,O$7)),INDEX(IF_TokGW_Sol,1,O$7)*INDEX(B4_EffRef,1,2)/1000000000,INDEX(IF_TokGW_Sol,1,O$7))</f>
        <v>524.216615381698</v>
      </c>
      <c r="P31" s="74" t="n">
        <f aca="false">IF(ISNUMBER(INDEX(IF_TokGW_Sol,1,P$7)),INDEX(IF_TokGW_Sol,1,P$7)*INDEX(B4_EffRef,1,2)/1000000000,INDEX(IF_TokGW_Sol,1,P$7))</f>
        <v>524.216615381698</v>
      </c>
      <c r="Q31" s="74" t="n">
        <f aca="false">IF(ISNUMBER(INDEX(IF_TokGW_Sol,1,Q$7)),INDEX(IF_TokGW_Sol,1,Q$7)*INDEX(B4_EffRef,1,2)/1000000000,INDEX(IF_TokGW_Sol,1,Q$7))</f>
        <v>524.216615381698</v>
      </c>
    </row>
    <row r="32" customFormat="false" ht="15" hidden="false" customHeight="false" outlineLevel="0" collapsed="false">
      <c r="A32" s="5" t="s">
        <v>1817</v>
      </c>
      <c r="B32" s="61" t="s">
        <v>1814</v>
      </c>
      <c r="C32" s="74" t="n">
        <f aca="false">INDEX(IF_HoldEcon,1,C$7)</f>
        <v>6.79107465326444</v>
      </c>
      <c r="D32" s="74" t="n">
        <f aca="false">INDEX(IF_HoldEcon,1,D$7)</f>
        <v>9.70308728611469</v>
      </c>
      <c r="E32" s="74" t="n">
        <f aca="false">INDEX(IF_HoldEcon,1,E$7)</f>
        <v>16.6637697337026</v>
      </c>
      <c r="F32" s="74" t="n">
        <f aca="false">INDEX(IF_HoldEcon,1,F$7)</f>
        <v>6.6118162762144</v>
      </c>
      <c r="G32" s="74" t="n">
        <f aca="false">INDEX(IF_HoldEcon,1,G$7)</f>
        <v>8.82816556596761</v>
      </c>
      <c r="H32" s="74" t="n">
        <f aca="false">INDEX(IF_HoldEcon,1,H$7)</f>
        <v>14.3185748619737</v>
      </c>
      <c r="I32" s="74" t="n">
        <f aca="false">INDEX(IF_HoldEcon,1,I$7)</f>
        <v>8.42889912085495</v>
      </c>
      <c r="J32" s="74" t="n">
        <f aca="false">INDEX(IF_HoldEcon,1,J$7)</f>
        <v>10.8864110021101</v>
      </c>
      <c r="K32" s="74" t="n">
        <f aca="false">INDEX(IF_HoldEcon,1,K$7)</f>
        <v>18.5346455040469</v>
      </c>
      <c r="L32" s="74" t="n">
        <f aca="false">INDEX(IF_HoldEcon,1,L$7)</f>
        <v>9.51207691858967</v>
      </c>
      <c r="M32" s="74" t="n">
        <f aca="false">INDEX(IF_HoldEcon,1,M$7)</f>
        <v>12.2254710045841</v>
      </c>
      <c r="N32" s="74" t="n">
        <f aca="false">INDEX(IF_HoldEcon,1,N$7)</f>
        <v>19.7506269894487</v>
      </c>
      <c r="O32" s="74" t="n">
        <f aca="false">INDEX(IF_HoldEcon,1,O$7)</f>
        <v>10.1025446864987</v>
      </c>
      <c r="P32" s="74" t="n">
        <f aca="false">INDEX(IF_HoldEcon,1,P$7)</f>
        <v>15.3544827030524</v>
      </c>
      <c r="Q32" s="74" t="n">
        <f aca="false">INDEX(IF_HoldEcon,1,Q$7)</f>
        <v>28.0302450108258</v>
      </c>
    </row>
    <row r="33" customFormat="false" ht="15" hidden="false" customHeight="false" outlineLevel="0" collapsed="false">
      <c r="A33" s="5" t="s">
        <v>1818</v>
      </c>
      <c r="B33" s="61" t="s">
        <v>103</v>
      </c>
      <c r="C33" s="88" t="n">
        <f aca="false">IF(ISNUMBER(C29),C29/C32,C29)</f>
        <v>2.6405384122402</v>
      </c>
      <c r="D33" s="88" t="n">
        <f aca="false">IF(ISNUMBER(D29),D29/D32,D29)</f>
        <v>1.84808122956873</v>
      </c>
      <c r="E33" s="88" t="n">
        <f aca="false">IF(ISNUMBER(E29),E29/E32,E29)</f>
        <v>1.07611265451344</v>
      </c>
      <c r="F33" s="88" t="n">
        <f aca="false">IF(ISNUMBER(F29),F29/F32,F29)</f>
        <v>15.1856387444678</v>
      </c>
      <c r="G33" s="88" t="n">
        <f aca="false">IF(ISNUMBER(G29),G29/G32,G29)</f>
        <v>11.3732182144886</v>
      </c>
      <c r="H33" s="88" t="n">
        <f aca="false">IF(ISNUMBER(H29),H29/H32,H29)</f>
        <v>7.01219600297177</v>
      </c>
      <c r="I33" s="88" t="n">
        <f aca="false">IF(ISNUMBER(I29),I29/I32,I29)</f>
        <v>17.3423273131417</v>
      </c>
      <c r="J33" s="88" t="n">
        <f aca="false">IF(ISNUMBER(J29),J29/J32,J29)</f>
        <v>13.427448900743</v>
      </c>
      <c r="K33" s="88" t="n">
        <f aca="false">IF(ISNUMBER(K29),K29/K32,K29)</f>
        <v>7.886675113986</v>
      </c>
      <c r="L33" s="88" t="n">
        <f aca="false">IF(ISNUMBER(L29),L29/L32,L29)</f>
        <v>24.0545017794198</v>
      </c>
      <c r="M33" s="88" t="n">
        <f aca="false">IF(ISNUMBER(M29),M29/M32,M29)</f>
        <v>18.7157019208829</v>
      </c>
      <c r="N33" s="88" t="n">
        <f aca="false">IF(ISNUMBER(N29),N29/N32,N29)</f>
        <v>11.5848611432148</v>
      </c>
      <c r="O33" s="88" t="n">
        <f aca="false">IF(ISNUMBER(O29),O29/O32,O29)</f>
        <v>31.1337369929545</v>
      </c>
      <c r="P33" s="88" t="n">
        <f aca="false">IF(ISNUMBER(P29),P29/P32,P29)</f>
        <v>20.4845695756648</v>
      </c>
      <c r="Q33" s="88" t="n">
        <f aca="false">IF(ISNUMBER(Q29),Q29/Q32,Q29)</f>
        <v>11.2210923988549</v>
      </c>
    </row>
    <row r="34" customFormat="false" ht="15" hidden="false" customHeight="false" outlineLevel="0" collapsed="false">
      <c r="A34" s="5" t="s">
        <v>1819</v>
      </c>
      <c r="B34" s="61" t="s">
        <v>103</v>
      </c>
      <c r="C34" s="86" t="n">
        <f aca="false">IF(ISNUMBER(C30),C30/C32,C30)</f>
        <v>2.6405384122402</v>
      </c>
      <c r="D34" s="86" t="n">
        <f aca="false">IF(ISNUMBER(D30),D30/D32,D30)</f>
        <v>1.84808122956873</v>
      </c>
      <c r="E34" s="86" t="n">
        <f aca="false">IF(ISNUMBER(E30),E30/E32,E30)</f>
        <v>1.07611265451344</v>
      </c>
      <c r="F34" s="86" t="n">
        <f aca="false">IF(ISNUMBER(F30),F30/F32,F30)</f>
        <v>15.1856387444678</v>
      </c>
      <c r="G34" s="86" t="n">
        <f aca="false">IF(ISNUMBER(G30),G30/G32,G30)</f>
        <v>11.3732182144886</v>
      </c>
      <c r="H34" s="86" t="n">
        <f aca="false">IF(ISNUMBER(H30),H30/H32,H30)</f>
        <v>7.01219600297177</v>
      </c>
      <c r="I34" s="86" t="n">
        <f aca="false">IF(ISNUMBER(I30),I30/I32,I30)</f>
        <v>17.3423273131417</v>
      </c>
      <c r="J34" s="86" t="n">
        <f aca="false">IF(ISNUMBER(J30),J30/J32,J30)</f>
        <v>13.427448900743</v>
      </c>
      <c r="K34" s="86" t="n">
        <f aca="false">IF(ISNUMBER(K30),K30/K32,K30)</f>
        <v>7.886675113986</v>
      </c>
      <c r="L34" s="86" t="n">
        <f aca="false">IF(ISNUMBER(L30),L30/L32,L30)</f>
        <v>24.0545017794198</v>
      </c>
      <c r="M34" s="86" t="n">
        <f aca="false">IF(ISNUMBER(M30),M30/M32,M30)</f>
        <v>18.7157019208829</v>
      </c>
      <c r="N34" s="86" t="n">
        <f aca="false">IF(ISNUMBER(N30),N30/N32,N30)</f>
        <v>11.5848611432148</v>
      </c>
      <c r="O34" s="86" t="n">
        <f aca="false">IF(ISNUMBER(O30),O30/O32,O30)</f>
        <v>31.1337369929545</v>
      </c>
      <c r="P34" s="86" t="n">
        <f aca="false">IF(ISNUMBER(P30),P30/P32,P30)</f>
        <v>20.4845695756648</v>
      </c>
      <c r="Q34" s="86" t="n">
        <f aca="false">IF(ISNUMBER(Q30),Q30/Q32,Q30)</f>
        <v>11.2210923988549</v>
      </c>
    </row>
    <row r="35" customFormat="false" ht="15" hidden="false" customHeight="false" outlineLevel="0" collapsed="false">
      <c r="A35" s="5" t="s">
        <v>1820</v>
      </c>
      <c r="B35" s="61" t="s">
        <v>807</v>
      </c>
      <c r="C35" s="158" t="n">
        <f aca="false">Amortize!C23</f>
        <v>0.499286899028657</v>
      </c>
      <c r="D35" s="158" t="n">
        <f aca="false">Amortize!D23</f>
        <v>0.713374518877047</v>
      </c>
      <c r="E35" s="158" t="n">
        <f aca="false">Amortize!E23</f>
        <v>1.22511540932297</v>
      </c>
      <c r="F35" s="158" t="n">
        <f aca="false">Amortize!F23</f>
        <v>0.0907896070390855</v>
      </c>
      <c r="G35" s="158" t="n">
        <f aca="false">Amortize!G23</f>
        <v>0.121218072413277</v>
      </c>
      <c r="H35" s="158" t="n">
        <f aca="false">Amortize!H23</f>
        <v>0.196596411886232</v>
      </c>
      <c r="I35" s="158" t="n">
        <f aca="false">Amortize!I23</f>
        <v>0.0795068498732029</v>
      </c>
      <c r="J35" s="158" t="n">
        <f aca="false">Amortize!J23</f>
        <v>0.102683217394179</v>
      </c>
      <c r="K35" s="158" t="n">
        <f aca="false">Amortize!K23</f>
        <v>0.17481238798153</v>
      </c>
      <c r="L35" s="158" t="n">
        <f aca="false">Amortize!L23</f>
        <v>0.0562061280073716</v>
      </c>
      <c r="M35" s="158" t="n">
        <f aca="false">Amortize!M23</f>
        <v>0.0722349806053506</v>
      </c>
      <c r="N35" s="158" t="n">
        <f aca="false">Amortize!N23</f>
        <v>0.116688389227706</v>
      </c>
      <c r="O35" s="158" t="n">
        <f aca="false">Amortize!O23</f>
        <v>0.0432131923940377</v>
      </c>
      <c r="P35" s="158" t="n">
        <f aca="false">Amortize!P23</f>
        <v>0.0656701385291775</v>
      </c>
      <c r="Q35" s="158" t="n">
        <f aca="false">Amortize!Q23</f>
        <v>0.11987087556573</v>
      </c>
    </row>
    <row r="36" customFormat="false" ht="15" hidden="false" customHeight="false" outlineLevel="0" collapsed="false">
      <c r="A36" s="5" t="s">
        <v>1832</v>
      </c>
      <c r="B36" s="61" t="s">
        <v>807</v>
      </c>
      <c r="C36" s="159" t="n">
        <f aca="false">IF(AND(ISNUMBER(C35),ISNUMBER(Amortize!C22)),C35+Amortize!C22,"SLO 不可達")</f>
        <v>0.58836625697405</v>
      </c>
      <c r="D36" s="159" t="n">
        <f aca="false">IF(AND(ISNUMBER(D35),ISNUMBER(Amortize!D22)),D35+Amortize!D22,"SLO 不可達")</f>
        <v>0.840651103168418</v>
      </c>
      <c r="E36" s="159" t="n">
        <f aca="false">IF(AND(ISNUMBER(E35),ISNUMBER(Amortize!E22)),E35+Amortize!E22,"SLO 不可達")</f>
        <v>1.44369611777013</v>
      </c>
      <c r="F36" s="159" t="n">
        <f aca="false">IF(AND(ISNUMBER(F35),ISNUMBER(Amortize!F22)),F35+Amortize!F22,"SLO 不可達")</f>
        <v>0.10677898714576</v>
      </c>
      <c r="G36" s="159" t="n">
        <f aca="false">IF(AND(ISNUMBER(G35),ISNUMBER(Amortize!G22)),G35+Amortize!G22,"SLO 不可達")</f>
        <v>0.142567258322558</v>
      </c>
      <c r="H36" s="159" t="n">
        <f aca="false">IF(AND(ISNUMBER(H35),ISNUMBER(Amortize!H22)),H35+Amortize!H22,"SLO 不可達")</f>
        <v>0.231223075194707</v>
      </c>
      <c r="I36" s="159" t="n">
        <f aca="false">IF(AND(ISNUMBER(I35),ISNUMBER(Amortize!I22)),I35+Amortize!I22,"SLO 不可達")</f>
        <v>0.0938071107274286</v>
      </c>
      <c r="J36" s="159" t="n">
        <f aca="false">IF(AND(ISNUMBER(J35),ISNUMBER(Amortize!J22)),J35+Amortize!J22,"SLO 不可達")</f>
        <v>0.12115283185561</v>
      </c>
      <c r="K36" s="159" t="n">
        <f aca="false">IF(AND(ISNUMBER(K35),ISNUMBER(Amortize!K22)),K35+Amortize!K22,"SLO 不可達")</f>
        <v>0.206257807098325</v>
      </c>
      <c r="L36" s="159" t="n">
        <f aca="false">IF(AND(ISNUMBER(L35),ISNUMBER(Amortize!L22)),L35+Amortize!L22,"SLO 不可達")</f>
        <v>0.0616679702231791</v>
      </c>
      <c r="M36" s="159" t="n">
        <f aca="false">IF(AND(ISNUMBER(M35),ISNUMBER(Amortize!M22)),M35+Amortize!M22,"SLO 不可達")</f>
        <v>0.0792548558873168</v>
      </c>
      <c r="N36" s="159" t="n">
        <f aca="false">IF(AND(ISNUMBER(N35),ISNUMBER(Amortize!N22)),N35+Amortize!N22,"SLO 不可達")</f>
        <v>0.128029215127549</v>
      </c>
      <c r="O36" s="159" t="n">
        <f aca="false">IF(AND(ISNUMBER(O35),ISNUMBER(Amortize!O22)),O35+Amortize!O22,"SLO 不可達")</f>
        <v>0.0459652410730628</v>
      </c>
      <c r="P36" s="159" t="n">
        <f aca="false">IF(AND(ISNUMBER(P35),ISNUMBER(Amortize!P22)),P35+Amortize!P22,"SLO 不可達")</f>
        <v>0.069852875171414</v>
      </c>
      <c r="Q36" s="159" t="n">
        <f aca="false">IF(AND(ISNUMBER(Q35),ISNUMBER(Amortize!Q22)),Q35+Amortize!Q22,"SLO 不可達")</f>
        <v>0.127506634787651</v>
      </c>
    </row>
    <row r="37" customFormat="false" ht="15" hidden="false" customHeight="false" outlineLevel="0" collapsed="false">
      <c r="A37" s="5" t="s">
        <v>1822</v>
      </c>
      <c r="B37" s="61" t="s">
        <v>807</v>
      </c>
      <c r="C37" s="158" t="n">
        <f aca="false">IF(AND(ISNUMBER(C35),ISNUMBER(Amortize!C24)),C35+Amortize!C24,"SLO 不可達")</f>
        <v>1.21777292446014</v>
      </c>
      <c r="D37" s="158" t="n">
        <f aca="false">IF(AND(ISNUMBER(D35),ISNUMBER(Amortize!D24)),D35+Amortize!D24,"SLO 不可達")</f>
        <v>1.73993785091963</v>
      </c>
      <c r="E37" s="158" t="n">
        <f aca="false">IF(AND(ISNUMBER(E35),ISNUMBER(Amortize!E24)),E35+Amortize!E24,"SLO 不可達")</f>
        <v>2.98808636420237</v>
      </c>
      <c r="F37" s="158" t="n">
        <f aca="false">IF(AND(ISNUMBER(F35),ISNUMBER(Amortize!F24)),F35+Amortize!F24,"SLO 不可達")</f>
        <v>0.221438065948989</v>
      </c>
      <c r="G37" s="158" t="n">
        <f aca="false">IF(AND(ISNUMBER(G35),ISNUMBER(Amortize!G24)),G35+Amortize!G24,"SLO 不可達")</f>
        <v>0.295653835154334</v>
      </c>
      <c r="H37" s="158" t="n">
        <f aca="false">IF(AND(ISNUMBER(H35),ISNUMBER(Amortize!H24)),H35+Amortize!H24,"SLO 不可達")</f>
        <v>0.479503443624956</v>
      </c>
      <c r="I37" s="158" t="n">
        <f aca="false">IF(AND(ISNUMBER(I35),ISNUMBER(Amortize!I24)),I35+Amortize!I24,"SLO 不可達")</f>
        <v>0.193919146032202</v>
      </c>
      <c r="J37" s="158" t="n">
        <f aca="false">IF(AND(ISNUMBER(J35),ISNUMBER(Amortize!J24)),J35+Amortize!J24,"SLO 不可達")</f>
        <v>0.250446871693118</v>
      </c>
      <c r="K37" s="158" t="n">
        <f aca="false">IF(AND(ISNUMBER(K35),ISNUMBER(Amortize!K24)),K35+Amortize!K24,"SLO 不可達")</f>
        <v>0.426371678003733</v>
      </c>
      <c r="L37" s="158" t="n">
        <f aca="false">IF(AND(ISNUMBER(L35),ISNUMBER(Amortize!L24)),L35+Amortize!L24,"SLO 不可達")</f>
        <v>0.13708811709115</v>
      </c>
      <c r="M37" s="158" t="n">
        <f aca="false">IF(AND(ISNUMBER(M35),ISNUMBER(Amortize!M24)),M35+Amortize!M24,"SLO 不可達")</f>
        <v>0.176182879525245</v>
      </c>
      <c r="N37" s="158" t="n">
        <f aca="false">IF(AND(ISNUMBER(N35),ISNUMBER(Amortize!N24)),N35+Amortize!N24,"SLO 不可達")</f>
        <v>0.28460582738465</v>
      </c>
      <c r="O37" s="158" t="n">
        <f aca="false">IF(AND(ISNUMBER(O35),ISNUMBER(Amortize!O24)),O35+Amortize!O24,"SLO 不可達")</f>
        <v>0.10539803022936</v>
      </c>
      <c r="P37" s="158" t="n">
        <f aca="false">IF(AND(ISNUMBER(P35),ISNUMBER(Amortize!P24)),P35+Amortize!P24,"SLO 不可達")</f>
        <v>0.16017106958336</v>
      </c>
      <c r="Q37" s="158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1833</v>
      </c>
      <c r="B38" s="61" t="s">
        <v>807</v>
      </c>
      <c r="C38" s="159" t="n">
        <f aca="false">IF(AND(ISNUMBER(C35),ISNUMBER(Amortize!C45)),C35+Amortize!C45,"SLO 不可達")</f>
        <v>1.73096502980731</v>
      </c>
      <c r="D38" s="159" t="n">
        <f aca="false">IF(AND(ISNUMBER(D35),ISNUMBER(Amortize!D45)),D35+Amortize!D45,"SLO 不可達")</f>
        <v>2.47316967082119</v>
      </c>
      <c r="E38" s="159" t="n">
        <f aca="false">IF(AND(ISNUMBER(E35),ISNUMBER(Amortize!E45)),E35+Amortize!E45,"SLO 不可達")</f>
        <v>4.24728656816685</v>
      </c>
      <c r="F38" s="159" t="n">
        <f aca="false">IF(AND(ISNUMBER(F35),ISNUMBER(Amortize!F45)),F35+Amortize!F45,"SLO 不可達")</f>
        <v>0.166552809078795</v>
      </c>
      <c r="G38" s="159" t="n">
        <f aca="false">IF(AND(ISNUMBER(G35),ISNUMBER(Amortize!G45)),G35+Amortize!G45,"SLO 不可達")</f>
        <v>0.22236897769775</v>
      </c>
      <c r="H38" s="159" t="n">
        <f aca="false">IF(AND(ISNUMBER(H35),ISNUMBER(Amortize!H45)),H35+Amortize!H45,"SLO 不可達")</f>
        <v>0.360638524140531</v>
      </c>
      <c r="I38" s="159" t="n">
        <f aca="false">IF(AND(ISNUMBER(I35),ISNUMBER(Amortize!I45)),I35+Amortize!I45,"SLO 不可達")</f>
        <v>0.153075259858597</v>
      </c>
      <c r="J38" s="159" t="n">
        <f aca="false">IF(AND(ISNUMBER(J35),ISNUMBER(Amortize!J45)),J35+Amortize!J45,"SLO 不可達")</f>
        <v>0.197693049109943</v>
      </c>
      <c r="K38" s="159" t="n">
        <f aca="false">IF(AND(ISNUMBER(K35),ISNUMBER(Amortize!K45)),K35+Amortize!K45,"SLO 不可達")</f>
        <v>0.336551915980613</v>
      </c>
      <c r="L38" s="159" t="n">
        <f aca="false">IF(AND(ISNUMBER(L35),ISNUMBER(Amortize!L45)),L35+Amortize!L45,"SLO 不可達")</f>
        <v>0.10088520995322</v>
      </c>
      <c r="M38" s="159" t="n">
        <f aca="false">IF(AND(ISNUMBER(M35),ISNUMBER(Amortize!M45)),M35+Amortize!M45,"SLO 不可達")</f>
        <v>0.12965182956771</v>
      </c>
      <c r="N38" s="159" t="n">
        <f aca="false">IF(AND(ISNUMBER(N35),ISNUMBER(Amortize!N45)),N35+Amortize!N45,"SLO 不可達")</f>
        <v>0.209431357677415</v>
      </c>
      <c r="O38" s="159" t="n">
        <f aca="false">IF(AND(ISNUMBER(O35),ISNUMBER(Amortize!O45)),O35+Amortize!O45,"SLO 不可達")</f>
        <v>0.076217459555783</v>
      </c>
      <c r="P38" s="159" t="n">
        <f aca="false">IF(AND(ISNUMBER(P35),ISNUMBER(Amortize!P45)),P35+Amortize!P45,"SLO 不可達")</f>
        <v>0.115819187486682</v>
      </c>
      <c r="Q38" s="159" t="n">
        <f aca="false">IF(AND(ISNUMBER(Q35),ISNUMBER(Amortize!Q45)),Q35+Amortize!Q45,"SLO 不可達")</f>
        <v>0.211399540614799</v>
      </c>
    </row>
    <row r="39" customFormat="false" ht="29.85" hidden="false" customHeight="false" outlineLevel="0" collapsed="false">
      <c r="A39" s="5" t="s">
        <v>1824</v>
      </c>
      <c r="B39" s="61" t="s">
        <v>99</v>
      </c>
      <c r="C39" s="85" t="n">
        <f aca="false">IF(ISNUMBER(C35),1-C35/INDEX(B4_EffRef,1,2),"SLO 不可達")</f>
        <v>0.689326459398651</v>
      </c>
      <c r="D39" s="85" t="n">
        <f aca="false">IF(ISNUMBER(D35),1-D35/INDEX(B4_EffRef,1,2),"SLO 不可達")</f>
        <v>0.556113753464227</v>
      </c>
      <c r="E39" s="85" t="n">
        <f aca="false">IF(ISNUMBER(E35),1-E35/INDEX(B4_EffRef,1,2),"SLO 不可達")</f>
        <v>0.237690909575031</v>
      </c>
      <c r="F39" s="85" t="n">
        <f aca="false">IF(ISNUMBER(F35),1-F35/INDEX(B4_EffRef,1,2),"SLO 不可達")</f>
        <v>0.943507573053666</v>
      </c>
      <c r="G39" s="85" t="n">
        <f aca="false">IF(ISNUMBER(G35),1-G35/INDEX(B4_EffRef,1,2),"SLO 不可達")</f>
        <v>0.924573931711871</v>
      </c>
      <c r="H39" s="85" t="n">
        <f aca="false">IF(ISNUMBER(H35),1-H35/INDEX(B4_EffRef,1,2),"SLO 不可達")</f>
        <v>0.87767092733849</v>
      </c>
      <c r="I39" s="85" t="n">
        <f aca="false">IF(ISNUMBER(I35),1-I35/INDEX(B4_EffRef,1,2),"SLO 不可達")</f>
        <v>0.950528093967172</v>
      </c>
      <c r="J39" s="85" t="n">
        <f aca="false">IF(ISNUMBER(J35),1-J35/INDEX(B4_EffRef,1,2),"SLO 不可達")</f>
        <v>0.936106958203291</v>
      </c>
      <c r="K39" s="85" t="n">
        <f aca="false">IF(ISNUMBER(K35),1-K35/INDEX(B4_EffRef,1,2),"SLO 不可達")</f>
        <v>0.891225698849988</v>
      </c>
      <c r="L39" s="85" t="n">
        <f aca="false">IF(ISNUMBER(L35),1-L35/INDEX(B4_EffRef,1,2),"SLO 不可達")</f>
        <v>0.965026607296298</v>
      </c>
      <c r="M39" s="85" t="n">
        <f aca="false">IF(ISNUMBER(M35),1-M35/INDEX(B4_EffRef,1,2),"SLO 不可達")</f>
        <v>0.955052902001649</v>
      </c>
      <c r="N39" s="85" t="n">
        <f aca="false">IF(ISNUMBER(N35),1-N35/INDEX(B4_EffRef,1,2),"SLO 不可達")</f>
        <v>0.927392456924132</v>
      </c>
      <c r="O39" s="85" t="n">
        <f aca="false">IF(ISNUMBER(O35),1-O35/INDEX(B4_EffRef,1,2),"SLO 不可達")</f>
        <v>0.973111260263666</v>
      </c>
      <c r="P39" s="85" t="n">
        <f aca="false">IF(ISNUMBER(P35),1-P35/INDEX(B4_EffRef,1,2),"SLO 不可達")</f>
        <v>0.959137773315639</v>
      </c>
      <c r="Q39" s="85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1825</v>
      </c>
      <c r="B40" s="61" t="s">
        <v>99</v>
      </c>
      <c r="C40" s="85" t="n">
        <f aca="false">IF(ISNUMBER(C36),1-C36/INDEX(B4_EffRef,1,2),"SLO 不可達")</f>
        <v>0.633898208464709</v>
      </c>
      <c r="D40" s="85" t="n">
        <f aca="false">IF(ISNUMBER(D36),1-D36/INDEX(B4_EffRef,1,2),"SLO 不可達")</f>
        <v>0.476917869986466</v>
      </c>
      <c r="E40" s="85" t="n">
        <f aca="false">IF(ISNUMBER(E36),1-E36/INDEX(B4_EffRef,1,2),"SLO 不可達")</f>
        <v>0.101682448843252</v>
      </c>
      <c r="F40" s="85" t="n">
        <f aca="false">IF(ISNUMBER(F36),1-F36/INDEX(B4_EffRef,1,2),"SLO 不可達")</f>
        <v>0.933558428905432</v>
      </c>
      <c r="G40" s="85" t="n">
        <f aca="false">IF(ISNUMBER(G36),1-G36/INDEX(B4_EffRef,1,2),"SLO 不可達")</f>
        <v>0.911289731408807</v>
      </c>
      <c r="H40" s="85" t="n">
        <f aca="false">IF(ISNUMBER(H36),1-H36/INDEX(B4_EffRef,1,2),"SLO 不可達")</f>
        <v>0.856125022348426</v>
      </c>
      <c r="I40" s="85" t="n">
        <f aca="false">IF(ISNUMBER(I36),1-I36/INDEX(B4_EffRef,1,2),"SLO 不可達")</f>
        <v>0.941629978114847</v>
      </c>
      <c r="J40" s="85" t="n">
        <f aca="false">IF(ISNUMBER(J36),1-J36/INDEX(B4_EffRef,1,2),"SLO 不可達")</f>
        <v>0.924614526638517</v>
      </c>
      <c r="K40" s="85" t="n">
        <f aca="false">IF(ISNUMBER(K36),1-K36/INDEX(B4_EffRef,1,2),"SLO 不可達")</f>
        <v>0.871659273791142</v>
      </c>
      <c r="L40" s="85" t="n">
        <f aca="false">IF(ISNUMBER(L36),1-L36/INDEX(B4_EffRef,1,2),"SLO 不可達")</f>
        <v>0.961628060563564</v>
      </c>
      <c r="M40" s="85" t="n">
        <f aca="false">IF(ISNUMBER(M36),1-M36/INDEX(B4_EffRef,1,2),"SLO 不可達")</f>
        <v>0.950684893322328</v>
      </c>
      <c r="N40" s="85" t="n">
        <f aca="false">IF(ISNUMBER(N36),1-N36/INDEX(B4_EffRef,1,2),"SLO 不可達")</f>
        <v>0.920335803640214</v>
      </c>
      <c r="O40" s="85" t="n">
        <f aca="false">IF(ISNUMBER(O36),1-O36/INDEX(B4_EffRef,1,2),"SLO 不可達")</f>
        <v>0.971398840593365</v>
      </c>
      <c r="P40" s="85" t="n">
        <f aca="false">IF(ISNUMBER(P36),1-P36/INDEX(B4_EffRef,1,2),"SLO 不可達")</f>
        <v>0.956535130216902</v>
      </c>
      <c r="Q40" s="85" t="n">
        <f aca="false">IF(ISNUMBER(Q36),1-Q36/INDEX(B4_EffRef,1,2),"SLO 不可達")</f>
        <v>0.920660971163658</v>
      </c>
    </row>
    <row r="41" customFormat="false" ht="15" hidden="false" customHeight="false" outlineLevel="0" collapsed="false">
      <c r="A41" s="5" t="s">
        <v>1826</v>
      </c>
      <c r="B41" s="61" t="s">
        <v>99</v>
      </c>
      <c r="C41" s="85" t="n">
        <f aca="false">IF(ISNUMBER(C37),1-C37/INDEX(B4_EffRef,1,2),"SLO 不可達")</f>
        <v>0.24225965706988</v>
      </c>
      <c r="D41" s="85" t="n">
        <f aca="false">IF(ISNUMBER(D37),1-D37/INDEX(B4_EffRef,1,2),"SLO 不可達")</f>
        <v>-0.0826493817945688</v>
      </c>
      <c r="E41" s="85" t="n">
        <f aca="false">IF(ISNUMBER(E37),1-E37/INDEX(B4_EffRef,1,2),"SLO 不可達")</f>
        <v>-0.859290464451143</v>
      </c>
      <c r="F41" s="85" t="n">
        <f aca="false">IF(ISNUMBER(F37),1-F37/INDEX(B4_EffRef,1,2),"SLO 不可達")</f>
        <v>0.862213592813821</v>
      </c>
      <c r="G41" s="85" t="n">
        <f aca="false">IF(ISNUMBER(G37),1-G37/INDEX(B4_EffRef,1,2),"SLO 不可達")</f>
        <v>0.816033979785052</v>
      </c>
      <c r="H41" s="85" t="n">
        <f aca="false">IF(ISNUMBER(H37),1-H37/INDEX(B4_EffRef,1,2),"SLO 不可達")</f>
        <v>0.701636408142657</v>
      </c>
      <c r="I41" s="85" t="n">
        <f aca="false">IF(ISNUMBER(I37),1-I37/INDEX(B4_EffRef,1,2),"SLO 不可達")</f>
        <v>0.879336814554078</v>
      </c>
      <c r="J41" s="85" t="n">
        <f aca="false">IF(ISNUMBER(J37),1-J37/INDEX(B4_EffRef,1,2),"SLO 不可達")</f>
        <v>0.844163312690952</v>
      </c>
      <c r="K41" s="85" t="n">
        <f aca="false">IF(ISNUMBER(K37),1-K37/INDEX(B4_EffRef,1,2),"SLO 不可達")</f>
        <v>0.734696826463386</v>
      </c>
      <c r="L41" s="85" t="n">
        <f aca="false">IF(ISNUMBER(L37),1-L37/INDEX(B4_EffRef,1,2),"SLO 不可達")</f>
        <v>0.914699042186093</v>
      </c>
      <c r="M41" s="85" t="n">
        <f aca="false">IF(ISNUMBER(M37),1-M37/INDEX(B4_EffRef,1,2),"SLO 不可達")</f>
        <v>0.890372931711338</v>
      </c>
      <c r="N41" s="85" t="n">
        <f aca="false">IF(ISNUMBER(N37),1-N37/INDEX(B4_EffRef,1,2),"SLO 不可達")</f>
        <v>0.822908431522273</v>
      </c>
      <c r="O41" s="85" t="n">
        <f aca="false">IF(ISNUMBER(O37),1-O37/INDEX(B4_EffRef,1,2),"SLO 不可達")</f>
        <v>0.93441770796016</v>
      </c>
      <c r="P41" s="85" t="n">
        <f aca="false">IF(ISNUMBER(P37),1-P37/INDEX(B4_EffRef,1,2),"SLO 不可達")</f>
        <v>0.900336032477168</v>
      </c>
      <c r="Q41" s="85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1827</v>
      </c>
      <c r="B42" s="61" t="s">
        <v>99</v>
      </c>
      <c r="C42" s="118" t="n">
        <f aca="false">IF(ISNUMBER(C38),1-C38/INDEX(B4_EffRef,1,2),"SLO 不可達")</f>
        <v>-0.0770661828170485</v>
      </c>
      <c r="D42" s="118" t="n">
        <f aca="false">IF(ISNUMBER(D38),1-D38/INDEX(B4_EffRef,1,2),"SLO 不可達")</f>
        <v>-0.538891526368275</v>
      </c>
      <c r="E42" s="118" t="n">
        <f aca="false">IF(ISNUMBER(E38),1-E38/INDEX(B4_EffRef,1,2),"SLO 不可達")</f>
        <v>-1.64280829047993</v>
      </c>
      <c r="F42" s="118" t="n">
        <f aca="false">IF(ISNUMBER(F38),1-F38/INDEX(B4_EffRef,1,2),"SLO 不可達")</f>
        <v>0.896365093908383</v>
      </c>
      <c r="G42" s="118" t="n">
        <f aca="false">IF(ISNUMBER(G38),1-G38/INDEX(B4_EffRef,1,2),"SLO 不可達")</f>
        <v>0.861634347394929</v>
      </c>
      <c r="H42" s="118" t="n">
        <f aca="false">IF(ISNUMBER(H38),1-H38/INDEX(B4_EffRef,1,2),"SLO 不可達")</f>
        <v>0.775598263463442</v>
      </c>
      <c r="I42" s="118" t="n">
        <f aca="false">IF(ISNUMBER(I38),1-I38/INDEX(B4_EffRef,1,2),"SLO 不可達")</f>
        <v>0.904751290187543</v>
      </c>
      <c r="J42" s="118" t="n">
        <f aca="false">IF(ISNUMBER(J38),1-J38/INDEX(B4_EffRef,1,2),"SLO 不可達")</f>
        <v>0.876988561809355</v>
      </c>
      <c r="K42" s="118" t="n">
        <f aca="false">IF(ISNUMBER(K38),1-K38/INDEX(B4_EffRef,1,2),"SLO 不可達")</f>
        <v>0.790585782368258</v>
      </c>
      <c r="L42" s="118" t="n">
        <f aca="false">IF(ISNUMBER(L38),1-L38/INDEX(B4_EffRef,1,2),"SLO 不可達")</f>
        <v>0.937225740488179</v>
      </c>
      <c r="M42" s="118" t="n">
        <f aca="false">IF(ISNUMBER(M38),1-M38/INDEX(B4_EffRef,1,2),"SLO 不可達")</f>
        <v>0.919326156933809</v>
      </c>
      <c r="N42" s="118" t="n">
        <f aca="false">IF(ISNUMBER(N38),1-N38/INDEX(B4_EffRef,1,2),"SLO 不可達")</f>
        <v>0.86968458109121</v>
      </c>
      <c r="O42" s="118" t="n">
        <f aca="false">IF(ISNUMBER(O38),1-O38/INDEX(B4_EffRef,1,2),"SLO 不可達")</f>
        <v>0.952574866150301</v>
      </c>
      <c r="P42" s="118" t="n">
        <f aca="false">IF(ISNUMBER(P38),1-P38/INDEX(B4_EffRef,1,2),"SLO 不可達")</f>
        <v>0.927933304246395</v>
      </c>
      <c r="Q42" s="118" t="n">
        <f aca="false">IF(ISNUMBER(Q38),1-Q38/INDEX(B4_EffRef,1,2),"SLO 不可達")</f>
        <v>0.868459909739133</v>
      </c>
    </row>
    <row r="43" customFormat="false" ht="15" hidden="false" customHeight="false" outlineLevel="0" collapsed="false">
      <c r="A43" s="5" t="s">
        <v>1828</v>
      </c>
      <c r="B43" s="61" t="s">
        <v>99</v>
      </c>
      <c r="C43" s="85" t="n">
        <f aca="false">IF(ISNUMBER(C37),1-C37/INDEX(B4_FrontRef,1,2),"SLO 不可達")</f>
        <v>0.24225965706988</v>
      </c>
      <c r="D43" s="85" t="n">
        <f aca="false">IF(ISNUMBER(D37),1-D37/INDEX(B4_FrontRef,1,2),"SLO 不可達")</f>
        <v>-0.082649381794569</v>
      </c>
      <c r="E43" s="85" t="n">
        <f aca="false">IF(ISNUMBER(E37),1-E37/INDEX(B4_FrontRef,1,2),"SLO 不可達")</f>
        <v>-0.859290464451144</v>
      </c>
      <c r="F43" s="85" t="n">
        <f aca="false">IF(ISNUMBER(F37),1-F37/INDEX(B4_FrontRef,1,2),"SLO 不可達")</f>
        <v>0.862213592813821</v>
      </c>
      <c r="G43" s="85" t="n">
        <f aca="false">IF(ISNUMBER(G37),1-G37/INDEX(B4_FrontRef,1,2),"SLO 不可達")</f>
        <v>0.816033979785052</v>
      </c>
      <c r="H43" s="85" t="n">
        <f aca="false">IF(ISNUMBER(H37),1-H37/INDEX(B4_FrontRef,1,2),"SLO 不可達")</f>
        <v>0.701636408142657</v>
      </c>
      <c r="I43" s="85" t="n">
        <f aca="false">IF(ISNUMBER(I37),1-I37/INDEX(B4_FrontRef,1,2),"SLO 不可達")</f>
        <v>0.879336814554078</v>
      </c>
      <c r="J43" s="85" t="n">
        <f aca="false">IF(ISNUMBER(J37),1-J37/INDEX(B4_FrontRef,1,2),"SLO 不可達")</f>
        <v>0.844163312690952</v>
      </c>
      <c r="K43" s="85" t="n">
        <f aca="false">IF(ISNUMBER(K37),1-K37/INDEX(B4_FrontRef,1,2),"SLO 不可達")</f>
        <v>0.734696826463385</v>
      </c>
      <c r="L43" s="85" t="n">
        <f aca="false">IF(ISNUMBER(L37),1-L37/INDEX(B4_FrontRef,1,2),"SLO 不可達")</f>
        <v>0.914699042186093</v>
      </c>
      <c r="M43" s="85" t="n">
        <f aca="false">IF(ISNUMBER(M37),1-M37/INDEX(B4_FrontRef,1,2),"SLO 不可達")</f>
        <v>0.890372931711338</v>
      </c>
      <c r="N43" s="85" t="n">
        <f aca="false">IF(ISNUMBER(N37),1-N37/INDEX(B4_FrontRef,1,2),"SLO 不可達")</f>
        <v>0.822908431522273</v>
      </c>
      <c r="O43" s="85" t="n">
        <f aca="false">IF(ISNUMBER(O37),1-O37/INDEX(B4_FrontRef,1,2),"SLO 不可達")</f>
        <v>0.93441770796016</v>
      </c>
      <c r="P43" s="85" t="n">
        <f aca="false">IF(ISNUMBER(P37),1-P37/INDEX(B4_FrontRef,1,2),"SLO 不可達")</f>
        <v>0.900336032477168</v>
      </c>
      <c r="Q43" s="85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5" t="s">
        <v>1834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</row>
    <row r="46" customFormat="false" ht="15" hidden="false" customHeight="false" outlineLevel="0" collapsed="false">
      <c r="A46" s="5" t="s">
        <v>1812</v>
      </c>
      <c r="B46" s="61" t="s">
        <v>799</v>
      </c>
      <c r="C46" s="67" t="str">
        <f aca="false">IF(ISNUMBER(INDEX(IF_TokGW_Astra,1,C$7)),INDEX(IF_TokGW_Astra,1,C$7)*IF_Util,INDEX(IF_TokGW_Astra,1,C$7))</f>
        <v>TTFT 不可達</v>
      </c>
      <c r="D46" s="67" t="str">
        <f aca="false">IF(ISNUMBER(INDEX(IF_TokGW_Astra,1,D$7)),INDEX(IF_TokGW_Astra,1,D$7)*IF_Util,INDEX(IF_TokGW_Astra,1,D$7))</f>
        <v>TTFT 不可達</v>
      </c>
      <c r="E46" s="67" t="str">
        <f aca="false">IF(ISNUMBER(INDEX(IF_TokGW_Astra,1,E$7)),INDEX(IF_TokGW_Astra,1,E$7)*IF_Util,INDEX(IF_TokGW_Astra,1,E$7))</f>
        <v>TTFT 不可達</v>
      </c>
      <c r="F46" s="67" t="n">
        <f aca="false">IF(ISNUMBER(INDEX(IF_TokGW_Astra,1,F$7)),INDEX(IF_TokGW_Astra,1,F$7)*IF_Util,INDEX(IF_TokGW_Astra,1,F$7))</f>
        <v>12025103198.548</v>
      </c>
      <c r="G46" s="67" t="n">
        <f aca="false">IF(ISNUMBER(INDEX(IF_TokGW_Astra,1,G$7)),INDEX(IF_TokGW_Astra,1,G$7)*IF_Util,INDEX(IF_TokGW_Astra,1,G$7))</f>
        <v>12025103198.548</v>
      </c>
      <c r="H46" s="67" t="n">
        <f aca="false">IF(ISNUMBER(INDEX(IF_TokGW_Astra,1,H$7)),INDEX(IF_TokGW_Astra,1,H$7)*IF_Util,INDEX(IF_TokGW_Astra,1,H$7))</f>
        <v>12025103198.548</v>
      </c>
      <c r="I46" s="67" t="n">
        <f aca="false">IF(ISNUMBER(INDEX(IF_TokGW_Astra,1,I$7)),INDEX(IF_TokGW_Astra,1,I$7)*IF_Util,INDEX(IF_TokGW_Astra,1,I$7))</f>
        <v>14540542517.2698</v>
      </c>
      <c r="J46" s="67" t="n">
        <f aca="false">IF(ISNUMBER(INDEX(IF_TokGW_Astra,1,J$7)),INDEX(IF_TokGW_Astra,1,J$7)*IF_Util,INDEX(IF_TokGW_Astra,1,J$7))</f>
        <v>14540542517.2698</v>
      </c>
      <c r="K46" s="67" t="n">
        <f aca="false">IF(ISNUMBER(INDEX(IF_TokGW_Astra,1,K$7)),INDEX(IF_TokGW_Astra,1,K$7)*IF_Util,INDEX(IF_TokGW_Astra,1,K$7))</f>
        <v>14540542517.2698</v>
      </c>
      <c r="L46" s="67" t="n">
        <f aca="false">IF(ISNUMBER(INDEX(IF_TokGW_Astra,1,L$7)),INDEX(IF_TokGW_Astra,1,L$7)*IF_Util,INDEX(IF_TokGW_Astra,1,L$7))</f>
        <v>30700734330.9357</v>
      </c>
      <c r="M46" s="67" t="n">
        <f aca="false">IF(ISNUMBER(INDEX(IF_TokGW_Astra,1,M$7)),INDEX(IF_TokGW_Astra,1,M$7)*IF_Util,INDEX(IF_TokGW_Astra,1,M$7))</f>
        <v>30700734330.9357</v>
      </c>
      <c r="N46" s="67" t="n">
        <f aca="false">IF(ISNUMBER(INDEX(IF_TokGW_Astra,1,N$7)),INDEX(IF_TokGW_Astra,1,N$7)*IF_Util,INDEX(IF_TokGW_Astra,1,N$7))</f>
        <v>30700734330.9357</v>
      </c>
      <c r="O46" s="67" t="n">
        <f aca="false">IF(ISNUMBER(INDEX(IF_TokGW_Astra,1,O$7)),INDEX(IF_TokGW_Astra,1,O$7)*IF_Util,INDEX(IF_TokGW_Astra,1,O$7))</f>
        <v>44640573595.0624</v>
      </c>
      <c r="P46" s="67" t="n">
        <f aca="false">IF(ISNUMBER(INDEX(IF_TokGW_Astra,1,P$7)),INDEX(IF_TokGW_Astra,1,P$7)*IF_Util,INDEX(IF_TokGW_Astra,1,P$7))</f>
        <v>44640573595.0624</v>
      </c>
      <c r="Q46" s="67" t="n">
        <f aca="false">IF(ISNUMBER(INDEX(IF_TokGW_Astra,1,Q$7)),INDEX(IF_TokGW_Astra,1,Q$7)*IF_Util,INDEX(IF_TokGW_Astra,1,Q$7))</f>
        <v>44640573595.0624</v>
      </c>
    </row>
    <row r="47" customFormat="false" ht="15" hidden="false" customHeight="false" outlineLevel="0" collapsed="false">
      <c r="A47" s="5" t="s">
        <v>1835</v>
      </c>
      <c r="B47" s="61" t="s">
        <v>1814</v>
      </c>
      <c r="C47" s="112" t="str">
        <f aca="false">IF(ISNUMBER(C46),C46*INDEX(B4_EffRef,1,3)/1000000000,C46)</f>
        <v>TTFT 不可達</v>
      </c>
      <c r="D47" s="112" t="str">
        <f aca="false">IF(ISNUMBER(D46),D46*INDEX(B4_EffRef,1,3)/1000000000,D46)</f>
        <v>TTFT 不可達</v>
      </c>
      <c r="E47" s="112" t="str">
        <f aca="false">IF(ISNUMBER(E46),E46*INDEX(B4_EffRef,1,3)/1000000000,E46)</f>
        <v>TTFT 不可達</v>
      </c>
      <c r="F47" s="112" t="n">
        <f aca="false">IF(ISNUMBER(F46),F46*INDEX(B4_EffRef,1,3)/1000000000,F46)</f>
        <v>96.6283848132214</v>
      </c>
      <c r="G47" s="112" t="n">
        <f aca="false">IF(ISNUMBER(G46),G46*INDEX(B4_EffRef,1,3)/1000000000,G46)</f>
        <v>96.6283848132214</v>
      </c>
      <c r="H47" s="112" t="n">
        <f aca="false">IF(ISNUMBER(H46),H46*INDEX(B4_EffRef,1,3)/1000000000,H46)</f>
        <v>96.6283848132214</v>
      </c>
      <c r="I47" s="112" t="n">
        <f aca="false">IF(ISNUMBER(I46),I46*INDEX(B4_EffRef,1,3)/1000000000,I46)</f>
        <v>116.841337205439</v>
      </c>
      <c r="J47" s="112" t="n">
        <f aca="false">IF(ISNUMBER(J46),J46*INDEX(B4_EffRef,1,3)/1000000000,J46)</f>
        <v>116.841337205439</v>
      </c>
      <c r="K47" s="112" t="n">
        <f aca="false">IF(ISNUMBER(K46),K46*INDEX(B4_EffRef,1,3)/1000000000,K46)</f>
        <v>116.841337205439</v>
      </c>
      <c r="L47" s="112" t="n">
        <f aca="false">IF(ISNUMBER(L46),L46*INDEX(B4_EffRef,1,3)/1000000000,L46)</f>
        <v>246.697456312585</v>
      </c>
      <c r="M47" s="112" t="n">
        <f aca="false">IF(ISNUMBER(M46),M46*INDEX(B4_EffRef,1,3)/1000000000,M46)</f>
        <v>246.697456312585</v>
      </c>
      <c r="N47" s="112" t="n">
        <f aca="false">IF(ISNUMBER(N46),N46*INDEX(B4_EffRef,1,3)/1000000000,N46)</f>
        <v>246.697456312585</v>
      </c>
      <c r="O47" s="112" t="n">
        <f aca="false">IF(ISNUMBER(O46),O46*INDEX(B4_EffRef,1,3)/1000000000,O46)</f>
        <v>358.71180915499</v>
      </c>
      <c r="P47" s="112" t="n">
        <f aca="false">IF(ISNUMBER(P46),P46*INDEX(B4_EffRef,1,3)/1000000000,P46)</f>
        <v>358.71180915499</v>
      </c>
      <c r="Q47" s="112" t="n">
        <f aca="false">IF(ISNUMBER(Q46),Q46*INDEX(B4_EffRef,1,3)/1000000000,Q46)</f>
        <v>358.71180915499</v>
      </c>
    </row>
    <row r="48" customFormat="false" ht="15" hidden="false" customHeight="false" outlineLevel="0" collapsed="false">
      <c r="A48" s="5" t="s">
        <v>1836</v>
      </c>
      <c r="B48" s="61" t="s">
        <v>1814</v>
      </c>
      <c r="C48" s="74" t="str">
        <f aca="false">IF(ISNUMBER(C46),C46*INDEX(B4_FrontRef,1,3)/1000000000,C46)</f>
        <v>TTFT 不可達</v>
      </c>
      <c r="D48" s="74" t="str">
        <f aca="false">IF(ISNUMBER(D46),D46*INDEX(B4_FrontRef,1,3)/1000000000,D46)</f>
        <v>TTFT 不可達</v>
      </c>
      <c r="E48" s="74" t="str">
        <f aca="false">IF(ISNUMBER(E46),E46*INDEX(B4_FrontRef,1,3)/1000000000,E46)</f>
        <v>TTFT 不可達</v>
      </c>
      <c r="F48" s="74" t="n">
        <f aca="false">IF(ISNUMBER(F46),F46*INDEX(B4_FrontRef,1,3)/1000000000,F46)</f>
        <v>93.101021208314</v>
      </c>
      <c r="G48" s="74" t="n">
        <f aca="false">IF(ISNUMBER(G46),G46*INDEX(B4_FrontRef,1,3)/1000000000,G46)</f>
        <v>93.101021208314</v>
      </c>
      <c r="H48" s="74" t="n">
        <f aca="false">IF(ISNUMBER(H46),H46*INDEX(B4_FrontRef,1,3)/1000000000,H46)</f>
        <v>93.101021208314</v>
      </c>
      <c r="I48" s="74" t="n">
        <f aca="false">IF(ISNUMBER(I46),I46*INDEX(B4_FrontRef,1,3)/1000000000,I46)</f>
        <v>112.576111400374</v>
      </c>
      <c r="J48" s="74" t="n">
        <f aca="false">IF(ISNUMBER(J46),J46*INDEX(B4_FrontRef,1,3)/1000000000,J46)</f>
        <v>112.576111400374</v>
      </c>
      <c r="K48" s="74" t="n">
        <f aca="false">IF(ISNUMBER(K46),K46*INDEX(B4_FrontRef,1,3)/1000000000,K46)</f>
        <v>112.576111400374</v>
      </c>
      <c r="L48" s="74" t="n">
        <f aca="false">IF(ISNUMBER(L46),L46*INDEX(B4_FrontRef,1,3)/1000000000,L46)</f>
        <v>237.691907575511</v>
      </c>
      <c r="M48" s="74" t="n">
        <f aca="false">IF(ISNUMBER(M46),M46*INDEX(B4_FrontRef,1,3)/1000000000,M46)</f>
        <v>237.691907575511</v>
      </c>
      <c r="N48" s="74" t="n">
        <f aca="false">IF(ISNUMBER(N46),N46*INDEX(B4_FrontRef,1,3)/1000000000,N46)</f>
        <v>237.691907575511</v>
      </c>
      <c r="O48" s="74" t="n">
        <f aca="false">IF(ISNUMBER(O46),O46*INDEX(B4_FrontRef,1,3)/1000000000,O46)</f>
        <v>345.617240900439</v>
      </c>
      <c r="P48" s="74" t="n">
        <f aca="false">IF(ISNUMBER(P46),P46*INDEX(B4_FrontRef,1,3)/1000000000,P46)</f>
        <v>345.617240900439</v>
      </c>
      <c r="Q48" s="74" t="n">
        <f aca="false">IF(ISNUMBER(Q46),Q46*INDEX(B4_FrontRef,1,3)/1000000000,Q46)</f>
        <v>345.617240900439</v>
      </c>
    </row>
    <row r="49" customFormat="false" ht="15" hidden="false" customHeight="false" outlineLevel="0" collapsed="false">
      <c r="A49" s="5" t="s">
        <v>1816</v>
      </c>
      <c r="B49" s="61" t="s">
        <v>1814</v>
      </c>
      <c r="C49" s="74" t="str">
        <f aca="false">IF(ISNUMBER(INDEX(IF_TokGW_Astra,1,C$7)),INDEX(IF_TokGW_Astra,1,C$7)*INDEX(B4_EffRef,1,3)/1000000000,INDEX(IF_TokGW_Astra,1,C$7))</f>
        <v>TTFT 不可達</v>
      </c>
      <c r="D49" s="74" t="str">
        <f aca="false">IF(ISNUMBER(INDEX(IF_TokGW_Astra,1,D$7)),INDEX(IF_TokGW_Astra,1,D$7)*INDEX(B4_EffRef,1,3)/1000000000,INDEX(IF_TokGW_Astra,1,D$7))</f>
        <v>TTFT 不可達</v>
      </c>
      <c r="E49" s="74" t="str">
        <f aca="false">IF(ISNUMBER(INDEX(IF_TokGW_Astra,1,E$7)),INDEX(IF_TokGW_Astra,1,E$7)*INDEX(B4_EffRef,1,3)/1000000000,INDEX(IF_TokGW_Astra,1,E$7))</f>
        <v>TTFT 不可達</v>
      </c>
      <c r="F49" s="74" t="n">
        <f aca="false">IF(ISNUMBER(INDEX(IF_TokGW_Astra,1,F$7)),INDEX(IF_TokGW_Astra,1,F$7)*INDEX(B4_EffRef,1,3)/1000000000,INDEX(IF_TokGW_Astra,1,F$7))</f>
        <v>161.047308022036</v>
      </c>
      <c r="G49" s="74" t="n">
        <f aca="false">IF(ISNUMBER(INDEX(IF_TokGW_Astra,1,G$7)),INDEX(IF_TokGW_Astra,1,G$7)*INDEX(B4_EffRef,1,3)/1000000000,INDEX(IF_TokGW_Astra,1,G$7))</f>
        <v>161.047308022036</v>
      </c>
      <c r="H49" s="74" t="n">
        <f aca="false">IF(ISNUMBER(INDEX(IF_TokGW_Astra,1,H$7)),INDEX(IF_TokGW_Astra,1,H$7)*INDEX(B4_EffRef,1,3)/1000000000,INDEX(IF_TokGW_Astra,1,H$7))</f>
        <v>161.047308022036</v>
      </c>
      <c r="I49" s="74" t="n">
        <f aca="false">IF(ISNUMBER(INDEX(IF_TokGW_Astra,1,I$7)),INDEX(IF_TokGW_Astra,1,I$7)*INDEX(B4_EffRef,1,3)/1000000000,INDEX(IF_TokGW_Astra,1,I$7))</f>
        <v>194.735562009066</v>
      </c>
      <c r="J49" s="74" t="n">
        <f aca="false">IF(ISNUMBER(INDEX(IF_TokGW_Astra,1,J$7)),INDEX(IF_TokGW_Astra,1,J$7)*INDEX(B4_EffRef,1,3)/1000000000,INDEX(IF_TokGW_Astra,1,J$7))</f>
        <v>194.735562009066</v>
      </c>
      <c r="K49" s="74" t="n">
        <f aca="false">IF(ISNUMBER(INDEX(IF_TokGW_Astra,1,K$7)),INDEX(IF_TokGW_Astra,1,K$7)*INDEX(B4_EffRef,1,3)/1000000000,INDEX(IF_TokGW_Astra,1,K$7))</f>
        <v>194.735562009066</v>
      </c>
      <c r="L49" s="74" t="n">
        <f aca="false">IF(ISNUMBER(INDEX(IF_TokGW_Astra,1,L$7)),INDEX(IF_TokGW_Astra,1,L$7)*INDEX(B4_EffRef,1,3)/1000000000,INDEX(IF_TokGW_Astra,1,L$7))</f>
        <v>411.162427187643</v>
      </c>
      <c r="M49" s="74" t="n">
        <f aca="false">IF(ISNUMBER(INDEX(IF_TokGW_Astra,1,M$7)),INDEX(IF_TokGW_Astra,1,M$7)*INDEX(B4_EffRef,1,3)/1000000000,INDEX(IF_TokGW_Astra,1,M$7))</f>
        <v>411.162427187643</v>
      </c>
      <c r="N49" s="74" t="n">
        <f aca="false">IF(ISNUMBER(INDEX(IF_TokGW_Astra,1,N$7)),INDEX(IF_TokGW_Astra,1,N$7)*INDEX(B4_EffRef,1,3)/1000000000,INDEX(IF_TokGW_Astra,1,N$7))</f>
        <v>411.162427187643</v>
      </c>
      <c r="O49" s="74" t="n">
        <f aca="false">IF(ISNUMBER(INDEX(IF_TokGW_Astra,1,O$7)),INDEX(IF_TokGW_Astra,1,O$7)*INDEX(B4_EffRef,1,3)/1000000000,INDEX(IF_TokGW_Astra,1,O$7))</f>
        <v>597.853015258317</v>
      </c>
      <c r="P49" s="74" t="n">
        <f aca="false">IF(ISNUMBER(INDEX(IF_TokGW_Astra,1,P$7)),INDEX(IF_TokGW_Astra,1,P$7)*INDEX(B4_EffRef,1,3)/1000000000,INDEX(IF_TokGW_Astra,1,P$7))</f>
        <v>597.853015258317</v>
      </c>
      <c r="Q49" s="74" t="n">
        <f aca="false">IF(ISNUMBER(INDEX(IF_TokGW_Astra,1,Q$7)),INDEX(IF_TokGW_Astra,1,Q$7)*INDEX(B4_EffRef,1,3)/1000000000,INDEX(IF_TokGW_Astra,1,Q$7))</f>
        <v>597.853015258317</v>
      </c>
    </row>
    <row r="50" customFormat="false" ht="15" hidden="false" customHeight="false" outlineLevel="0" collapsed="false">
      <c r="A50" s="5" t="s">
        <v>1817</v>
      </c>
      <c r="B50" s="61" t="s">
        <v>1814</v>
      </c>
      <c r="C50" s="74" t="n">
        <f aca="false">INDEX(IF_HoldEcon,1,C$7)</f>
        <v>6.79107465326444</v>
      </c>
      <c r="D50" s="74" t="n">
        <f aca="false">INDEX(IF_HoldEcon,1,D$7)</f>
        <v>9.70308728611469</v>
      </c>
      <c r="E50" s="74" t="n">
        <f aca="false">INDEX(IF_HoldEcon,1,E$7)</f>
        <v>16.6637697337026</v>
      </c>
      <c r="F50" s="74" t="n">
        <f aca="false">INDEX(IF_HoldEcon,1,F$7)</f>
        <v>6.6118162762144</v>
      </c>
      <c r="G50" s="74" t="n">
        <f aca="false">INDEX(IF_HoldEcon,1,G$7)</f>
        <v>8.82816556596761</v>
      </c>
      <c r="H50" s="74" t="n">
        <f aca="false">INDEX(IF_HoldEcon,1,H$7)</f>
        <v>14.3185748619737</v>
      </c>
      <c r="I50" s="74" t="n">
        <f aca="false">INDEX(IF_HoldEcon,1,I$7)</f>
        <v>8.42889912085495</v>
      </c>
      <c r="J50" s="74" t="n">
        <f aca="false">INDEX(IF_HoldEcon,1,J$7)</f>
        <v>10.8864110021101</v>
      </c>
      <c r="K50" s="74" t="n">
        <f aca="false">INDEX(IF_HoldEcon,1,K$7)</f>
        <v>18.5346455040469</v>
      </c>
      <c r="L50" s="74" t="n">
        <f aca="false">INDEX(IF_HoldEcon,1,L$7)</f>
        <v>9.51207691858967</v>
      </c>
      <c r="M50" s="74" t="n">
        <f aca="false">INDEX(IF_HoldEcon,1,M$7)</f>
        <v>12.2254710045841</v>
      </c>
      <c r="N50" s="74" t="n">
        <f aca="false">INDEX(IF_HoldEcon,1,N$7)</f>
        <v>19.7506269894487</v>
      </c>
      <c r="O50" s="74" t="n">
        <f aca="false">INDEX(IF_HoldEcon,1,O$7)</f>
        <v>10.1025446864987</v>
      </c>
      <c r="P50" s="74" t="n">
        <f aca="false">INDEX(IF_HoldEcon,1,P$7)</f>
        <v>15.3544827030524</v>
      </c>
      <c r="Q50" s="74" t="n">
        <f aca="false">INDEX(IF_HoldEcon,1,Q$7)</f>
        <v>28.0302450108258</v>
      </c>
    </row>
    <row r="51" customFormat="false" ht="15" hidden="false" customHeight="false" outlineLevel="0" collapsed="false">
      <c r="A51" s="5" t="s">
        <v>1818</v>
      </c>
      <c r="B51" s="61" t="s">
        <v>103</v>
      </c>
      <c r="C51" s="88" t="str">
        <f aca="false">IF(ISNUMBER(C47),C47/C50,C47)</f>
        <v>TTFT 不可達</v>
      </c>
      <c r="D51" s="88" t="str">
        <f aca="false">IF(ISNUMBER(D47),D47/D50,D47)</f>
        <v>TTFT 不可達</v>
      </c>
      <c r="E51" s="88" t="str">
        <f aca="false">IF(ISNUMBER(E47),E47/E50,E47)</f>
        <v>TTFT 不可達</v>
      </c>
      <c r="F51" s="88" t="n">
        <f aca="false">IF(ISNUMBER(F47),F47/F50,F47)</f>
        <v>14.6144993715019</v>
      </c>
      <c r="G51" s="88" t="n">
        <f aca="false">IF(ISNUMBER(G47),G47/G50,G47)</f>
        <v>10.9454658605092</v>
      </c>
      <c r="H51" s="88" t="n">
        <f aca="false">IF(ISNUMBER(H47),H47/H50,H47)</f>
        <v>6.74846384816134</v>
      </c>
      <c r="I51" s="88" t="n">
        <f aca="false">IF(ISNUMBER(I47),I47/I50,I47)</f>
        <v>13.8619925959664</v>
      </c>
      <c r="J51" s="88" t="n">
        <f aca="false">IF(ISNUMBER(J47),J47/J50,J47)</f>
        <v>10.7327692462459</v>
      </c>
      <c r="K51" s="88" t="n">
        <f aca="false">IF(ISNUMBER(K47),K47/K50,K47)</f>
        <v>6.30394237537094</v>
      </c>
      <c r="L51" s="88" t="n">
        <f aca="false">IF(ISNUMBER(L47),L47/L50,L47)</f>
        <v>25.9351830755762</v>
      </c>
      <c r="M51" s="88" t="n">
        <f aca="false">IF(ISNUMBER(M47),M47/M50,M47)</f>
        <v>20.1789735724769</v>
      </c>
      <c r="N51" s="88" t="n">
        <f aca="false">IF(ISNUMBER(N47),N47/N50,N47)</f>
        <v>12.4906139154153</v>
      </c>
      <c r="O51" s="88" t="n">
        <f aca="false">IF(ISNUMBER(O47),O47/O50,O47)</f>
        <v>35.5070747308234</v>
      </c>
      <c r="P51" s="88" t="n">
        <f aca="false">IF(ISNUMBER(P47),P47/P50,P47)</f>
        <v>23.3620250250229</v>
      </c>
      <c r="Q51" s="88" t="n">
        <f aca="false">IF(ISNUMBER(Q47),Q47/Q50,Q47)</f>
        <v>12.7973126534017</v>
      </c>
    </row>
    <row r="52" customFormat="false" ht="15" hidden="false" customHeight="false" outlineLevel="0" collapsed="false">
      <c r="A52" s="5" t="s">
        <v>1819</v>
      </c>
      <c r="B52" s="61" t="s">
        <v>103</v>
      </c>
      <c r="C52" s="86" t="str">
        <f aca="false">IF(ISNUMBER(C48),C48/C50,C48)</f>
        <v>TTFT 不可達</v>
      </c>
      <c r="D52" s="86" t="str">
        <f aca="false">IF(ISNUMBER(D48),D48/D50,D48)</f>
        <v>TTFT 不可達</v>
      </c>
      <c r="E52" s="86" t="str">
        <f aca="false">IF(ISNUMBER(E48),E48/E50,E48)</f>
        <v>TTFT 不可達</v>
      </c>
      <c r="F52" s="86" t="n">
        <f aca="false">IF(ISNUMBER(F48),F48/F50,F48)</f>
        <v>14.0810054785157</v>
      </c>
      <c r="G52" s="86" t="n">
        <f aca="false">IF(ISNUMBER(G48),G48/G50,G48)</f>
        <v>10.5459079253357</v>
      </c>
      <c r="H52" s="86" t="n">
        <f aca="false">IF(ISNUMBER(H48),H48/H50,H48)</f>
        <v>6.50211505724394</v>
      </c>
      <c r="I52" s="86" t="n">
        <f aca="false">IF(ISNUMBER(I48),I48/I50,I48)</f>
        <v>13.3559685299632</v>
      </c>
      <c r="J52" s="86" t="n">
        <f aca="false">IF(ISNUMBER(J48),J48/J50,J48)</f>
        <v>10.3409756786285</v>
      </c>
      <c r="K52" s="86" t="n">
        <f aca="false">IF(ISNUMBER(K48),K48/K50,K48)</f>
        <v>6.07382058511957</v>
      </c>
      <c r="L52" s="86" t="n">
        <f aca="false">IF(ISNUMBER(L48),L48/L50,L48)</f>
        <v>24.9884341358704</v>
      </c>
      <c r="M52" s="86" t="n">
        <f aca="false">IF(ISNUMBER(M48),M48/M50,M48)</f>
        <v>19.4423517495878</v>
      </c>
      <c r="N52" s="86" t="n">
        <f aca="false">IF(ISNUMBER(N48),N48/N50,N48)</f>
        <v>12.0346512392995</v>
      </c>
      <c r="O52" s="86" t="n">
        <f aca="false">IF(ISNUMBER(O48),O48/O50,O48)</f>
        <v>34.2109093921982</v>
      </c>
      <c r="P52" s="86" t="n">
        <f aca="false">IF(ISNUMBER(P48),P48/P50,P48)</f>
        <v>22.5092077398174</v>
      </c>
      <c r="Q52" s="86" t="n">
        <f aca="false">IF(ISNUMBER(Q48),Q48/Q50,Q48)</f>
        <v>12.3301541162753</v>
      </c>
    </row>
    <row r="53" customFormat="false" ht="15" hidden="false" customHeight="false" outlineLevel="0" collapsed="false">
      <c r="A53" s="5" t="s">
        <v>1820</v>
      </c>
      <c r="B53" s="61" t="s">
        <v>807</v>
      </c>
      <c r="C53" s="158" t="str">
        <f aca="false">Amortize!C33</f>
        <v>SLO 不可達</v>
      </c>
      <c r="D53" s="158" t="str">
        <f aca="false">Amortize!D33</f>
        <v>SLO 不可達</v>
      </c>
      <c r="E53" s="158" t="str">
        <f aca="false">Amortize!E33</f>
        <v>SLO 不可達</v>
      </c>
      <c r="F53" s="158" t="n">
        <f aca="false">Amortize!F33</f>
        <v>0.500258998810704</v>
      </c>
      <c r="G53" s="158" t="n">
        <f aca="false">Amortize!G33</f>
        <v>0.667876164712613</v>
      </c>
      <c r="H53" s="158" t="n">
        <f aca="false">Amortize!H33</f>
        <v>1.08310261394278</v>
      </c>
      <c r="I53" s="158" t="n">
        <f aca="false">Amortize!I33</f>
        <v>0.536385918424571</v>
      </c>
      <c r="J53" s="158" t="n">
        <f aca="false">Amortize!J33</f>
        <v>0.692708368266773</v>
      </c>
      <c r="K53" s="158" t="n">
        <f aca="false">Amortize!K33</f>
        <v>1.1792129355203</v>
      </c>
      <c r="L53" s="158" t="n">
        <f aca="false">Amortize!L33</f>
        <v>0.275196951960023</v>
      </c>
      <c r="M53" s="158" t="n">
        <f aca="false">Amortize!M33</f>
        <v>0.353635347542499</v>
      </c>
      <c r="N53" s="158" t="n">
        <f aca="false">Amortize!N33</f>
        <v>0.571171445600413</v>
      </c>
      <c r="O53" s="158" t="n">
        <f aca="false">Amortize!O33</f>
        <v>0.199188660250764</v>
      </c>
      <c r="P53" s="158" t="n">
        <f aca="false">Amortize!P33</f>
        <v>0.302623399033489</v>
      </c>
      <c r="Q53" s="158" t="n">
        <f aca="false">Amortize!Q33</f>
        <v>0.5522672750739</v>
      </c>
    </row>
    <row r="54" customFormat="false" ht="15" hidden="false" customHeight="false" outlineLevel="0" collapsed="false">
      <c r="A54" s="5" t="s">
        <v>1837</v>
      </c>
      <c r="B54" s="61" t="s">
        <v>807</v>
      </c>
      <c r="C54" s="159" t="str">
        <f aca="false">IF(AND(ISNUMBER(C53),ISNUMBER(Amortize!C32)),C53+Amortize!C32,"SLO 不可達")</f>
        <v>SLO 不可達</v>
      </c>
      <c r="D54" s="159" t="str">
        <f aca="false">IF(AND(ISNUMBER(D53),ISNUMBER(Amortize!D32)),D53+Amortize!D32,"SLO 不可達")</f>
        <v>SLO 不可達</v>
      </c>
      <c r="E54" s="159" t="str">
        <f aca="false">IF(AND(ISNUMBER(E53),ISNUMBER(Amortize!E32)),E53+Amortize!E32,"SLO 不可達")</f>
        <v>SLO 不可達</v>
      </c>
      <c r="F54" s="159" t="n">
        <f aca="false">IF(AND(ISNUMBER(F53),ISNUMBER(Amortize!F32)),F53+Amortize!F32,"SLO 不可達")</f>
        <v>0.902351992967805</v>
      </c>
      <c r="G54" s="159" t="n">
        <f aca="false">IF(AND(ISNUMBER(G53),ISNUMBER(Amortize!G32)),G53+Amortize!G32,"SLO 不可達")</f>
        <v>1.20475489470766</v>
      </c>
      <c r="H54" s="159" t="n">
        <f aca="false">IF(AND(ISNUMBER(H53),ISNUMBER(Amortize!H32)),H53+Amortize!H32,"SLO 不可達")</f>
        <v>1.95387675493419</v>
      </c>
      <c r="I54" s="159" t="n">
        <f aca="false">IF(AND(ISNUMBER(I53),ISNUMBER(Amortize!I32)),I53+Amortize!I32,"SLO 不可達")</f>
        <v>0.903208960889859</v>
      </c>
      <c r="J54" s="159" t="n">
        <f aca="false">IF(AND(ISNUMBER(J53),ISNUMBER(Amortize!J32)),J53+Amortize!J32,"SLO 不可達")</f>
        <v>1.16648155597062</v>
      </c>
      <c r="K54" s="159" t="n">
        <f aca="false">IF(AND(ISNUMBER(K53),ISNUMBER(Amortize!K32)),K53+Amortize!K32,"SLO 不可達")</f>
        <v>1.98583488665837</v>
      </c>
      <c r="L54" s="159" t="n">
        <f aca="false">IF(AND(ISNUMBER(L53),ISNUMBER(Amortize!L32)),L53+Amortize!L32,"SLO 不可達")</f>
        <v>0.411354577285165</v>
      </c>
      <c r="M54" s="159" t="n">
        <f aca="false">IF(AND(ISNUMBER(M53),ISNUMBER(Amortize!M32)),M53+Amortize!M32,"SLO 不可達")</f>
        <v>0.528632996816382</v>
      </c>
      <c r="N54" s="159" t="n">
        <f aca="false">IF(AND(ISNUMBER(N53),ISNUMBER(Amortize!N32)),N53+Amortize!N32,"SLO 不可達")</f>
        <v>0.85388556708848</v>
      </c>
      <c r="O54" s="159" t="n">
        <f aca="false">IF(AND(ISNUMBER(O53),ISNUMBER(Amortize!O32)),O53+Amortize!O32,"SLO 不可達")</f>
        <v>0.268797402426283</v>
      </c>
      <c r="P54" s="159" t="n">
        <f aca="false">IF(AND(ISNUMBER(P53),ISNUMBER(Amortize!P32)),P53+Amortize!P32,"SLO 不可達")</f>
        <v>0.408419142668617</v>
      </c>
      <c r="Q54" s="159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1822</v>
      </c>
      <c r="B55" s="61" t="s">
        <v>807</v>
      </c>
      <c r="C55" s="158" t="str">
        <f aca="false">IF(AND(ISNUMBER(C53),ISNUMBER(Amortize!C34)),C53+Amortize!C34,"SLO 不可達")</f>
        <v>SLO 不可達</v>
      </c>
      <c r="D55" s="158" t="str">
        <f aca="false">IF(AND(ISNUMBER(D53),ISNUMBER(Amortize!D34)),D53+Amortize!D34,"SLO 不可達")</f>
        <v>SLO 不可達</v>
      </c>
      <c r="E55" s="158" t="str">
        <f aca="false">IF(AND(ISNUMBER(E53),ISNUMBER(Amortize!E34)),E53+Amortize!E34,"SLO 不可達")</f>
        <v>SLO 不可達</v>
      </c>
      <c r="F55" s="158" t="n">
        <f aca="false">IF(AND(ISNUMBER(F53),ISNUMBER(Amortize!F34)),F53+Amortize!F34,"SLO 不可達")</f>
        <v>1.2201438995383</v>
      </c>
      <c r="G55" s="158" t="n">
        <f aca="false">IF(AND(ISNUMBER(G53),ISNUMBER(Amortize!G34)),G53+Amortize!G34,"SLO 不可達")</f>
        <v>1.62896625539662</v>
      </c>
      <c r="H55" s="158" t="n">
        <f aca="false">IF(AND(ISNUMBER(H53),ISNUMBER(Amortize!H34)),H53+Amortize!H34,"SLO 不可達")</f>
        <v>2.64171369254338</v>
      </c>
      <c r="I55" s="158" t="n">
        <f aca="false">IF(AND(ISNUMBER(I53),ISNUMBER(Amortize!I34)),I53+Amortize!I34,"SLO 不可達")</f>
        <v>1.30825833762091</v>
      </c>
      <c r="J55" s="158" t="n">
        <f aca="false">IF(AND(ISNUMBER(J53),ISNUMBER(Amortize!J34)),J53+Amortize!J34,"SLO 不可達")</f>
        <v>1.68953260552871</v>
      </c>
      <c r="K55" s="158" t="n">
        <f aca="false">IF(AND(ISNUMBER(K53),ISNUMBER(Amortize!K34)),K53+Amortize!K34,"SLO 不可達")</f>
        <v>2.87612911102512</v>
      </c>
      <c r="L55" s="158" t="n">
        <f aca="false">IF(AND(ISNUMBER(L53),ISNUMBER(Amortize!L34)),L53+Amortize!L34,"SLO 不可達")</f>
        <v>0.671212077951276</v>
      </c>
      <c r="M55" s="158" t="n">
        <f aca="false">IF(AND(ISNUMBER(M53),ISNUMBER(Amortize!M34)),M53+Amortize!M34,"SLO 不可達")</f>
        <v>0.862525237908535</v>
      </c>
      <c r="N55" s="158" t="n">
        <f aca="false">IF(AND(ISNUMBER(N53),ISNUMBER(Amortize!N34)),N53+Amortize!N34,"SLO 不可達")</f>
        <v>1.39310108683028</v>
      </c>
      <c r="O55" s="158" t="n">
        <f aca="false">IF(AND(ISNUMBER(O53),ISNUMBER(Amortize!O34)),O53+Amortize!O34,"SLO 不可達")</f>
        <v>0.48582600061162</v>
      </c>
      <c r="P55" s="158" t="n">
        <f aca="false">IF(AND(ISNUMBER(P53),ISNUMBER(Amortize!P34)),P53+Amortize!P34,"SLO 不可達")</f>
        <v>0.738105851301193</v>
      </c>
      <c r="Q55" s="158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1838</v>
      </c>
      <c r="B56" s="61" t="s">
        <v>807</v>
      </c>
      <c r="C56" s="159" t="str">
        <f aca="false">IF(AND(ISNUMBER(C53),ISNUMBER(Amortize!C47)),C53+Amortize!C47,"SLO 不可達")</f>
        <v>SLO 不可達</v>
      </c>
      <c r="D56" s="159" t="str">
        <f aca="false">IF(AND(ISNUMBER(D53),ISNUMBER(Amortize!D47)),D53+Amortize!D47,"SLO 不可達")</f>
        <v>SLO 不可達</v>
      </c>
      <c r="E56" s="159" t="str">
        <f aca="false">IF(AND(ISNUMBER(E53),ISNUMBER(Amortize!E47)),E53+Amortize!E47,"SLO 不可達")</f>
        <v>SLO 不可達</v>
      </c>
      <c r="F56" s="159" t="n">
        <f aca="false">IF(AND(ISNUMBER(F53),ISNUMBER(Amortize!F47)),F53+Amortize!F47,"SLO 不可達")</f>
        <v>2.40551439657061</v>
      </c>
      <c r="G56" s="159" t="n">
        <f aca="false">IF(AND(ISNUMBER(G53),ISNUMBER(Amortize!G47)),G53+Amortize!G47,"SLO 不可達")</f>
        <v>3.21156892179189</v>
      </c>
      <c r="H56" s="159" t="n">
        <f aca="false">IF(AND(ISNUMBER(H53),ISNUMBER(Amortize!H47)),H53+Amortize!H47,"SLO 不可達")</f>
        <v>5.20835222613085</v>
      </c>
      <c r="I56" s="159" t="n">
        <f aca="false">IF(AND(ISNUMBER(I53),ISNUMBER(Amortize!I47)),I53+Amortize!I47,"SLO 不可達")</f>
        <v>2.42352547869363</v>
      </c>
      <c r="J56" s="159" t="n">
        <f aca="false">IF(AND(ISNUMBER(J53),ISNUMBER(Amortize!J47)),J53+Amortize!J47,"SLO 不可達")</f>
        <v>3.1298524098591</v>
      </c>
      <c r="K56" s="159" t="n">
        <f aca="false">IF(AND(ISNUMBER(K53),ISNUMBER(Amortize!K47)),K53+Amortize!K47,"SLO 不可達")</f>
        <v>5.32807332011891</v>
      </c>
      <c r="L56" s="159" t="n">
        <f aca="false">IF(AND(ISNUMBER(L53),ISNUMBER(Amortize!L47)),L53+Amortize!L47,"SLO 不可達")</f>
        <v>1.38899655639526</v>
      </c>
      <c r="M56" s="159" t="n">
        <f aca="false">IF(AND(ISNUMBER(M53),ISNUMBER(Amortize!M47)),M53+Amortize!M47,"SLO 不可達")</f>
        <v>1.78497325506045</v>
      </c>
      <c r="N56" s="159" t="n">
        <f aca="false">IF(AND(ISNUMBER(N53),ISNUMBER(Amortize!N47)),N53+Amortize!N47,"SLO 不可達")</f>
        <v>2.88315005112846</v>
      </c>
      <c r="O56" s="159" t="n">
        <f aca="false">IF(AND(ISNUMBER(O53),ISNUMBER(Amortize!O47)),O53+Amortize!O47,"SLO 不可達")</f>
        <v>1.03397968014205</v>
      </c>
      <c r="P56" s="159" t="n">
        <f aca="false">IF(AND(ISNUMBER(P53),ISNUMBER(Amortize!P47)),P53+Amortize!P47,"SLO 不可達")</f>
        <v>1.57106470453646</v>
      </c>
      <c r="Q56" s="159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1824</v>
      </c>
      <c r="B57" s="61" t="s">
        <v>99</v>
      </c>
      <c r="C57" s="85" t="str">
        <f aca="false">IF(ISNUMBER(C53),1-C53/INDEX(B4_EffRef,1,3),"SLO 不可達")</f>
        <v>SLO 不可達</v>
      </c>
      <c r="D57" s="85" t="str">
        <f aca="false">IF(ISNUMBER(D53),1-D53/INDEX(B4_EffRef,1,3),"SLO 不可達")</f>
        <v>SLO 不可達</v>
      </c>
      <c r="E57" s="85" t="str">
        <f aca="false">IF(ISNUMBER(E53),1-E53/INDEX(B4_EffRef,1,3),"SLO 不可達")</f>
        <v>SLO 不可達</v>
      </c>
      <c r="F57" s="85" t="n">
        <f aca="false">IF(ISNUMBER(F53),1-F53/INDEX(B4_EffRef,1,3),"SLO 不可達")</f>
        <v>0.937744317072783</v>
      </c>
      <c r="G57" s="85" t="n">
        <f aca="false">IF(ISNUMBER(G53),1-G53/INDEX(B4_EffRef,1,3),"SLO 不可達")</f>
        <v>0.916884879944503</v>
      </c>
      <c r="H57" s="85" t="n">
        <f aca="false">IF(ISNUMBER(H53),1-H53/INDEX(B4_EffRef,1,3),"SLO 不可達")</f>
        <v>0.86521123443743</v>
      </c>
      <c r="I57" s="85" t="n">
        <f aca="false">IF(ISNUMBER(I53),1-I53/INDEX(B4_EffRef,1,3),"SLO 不可達")</f>
        <v>0.933248433824376</v>
      </c>
      <c r="J57" s="85" t="n">
        <f aca="false">IF(ISNUMBER(J53),1-J53/INDEX(B4_EffRef,1,3),"SLO 不可達")</f>
        <v>0.913794589126093</v>
      </c>
      <c r="K57" s="85" t="n">
        <f aca="false">IF(ISNUMBER(K53),1-K53/INDEX(B4_EffRef,1,3),"SLO 不可達")</f>
        <v>0.853250602603945</v>
      </c>
      <c r="L57" s="85" t="n">
        <f aca="false">IF(ISNUMBER(L53),1-L53/INDEX(B4_EffRef,1,3),"SLO 不可達")</f>
        <v>0.965752591708515</v>
      </c>
      <c r="M57" s="85" t="n">
        <f aca="false">IF(ISNUMBER(M53),1-M53/INDEX(B4_EffRef,1,3),"SLO 不可達")</f>
        <v>0.955991176329058</v>
      </c>
      <c r="N57" s="85" t="n">
        <f aca="false">IF(ISNUMBER(N53),1-N53/INDEX(B4_EffRef,1,3),"SLO 不可達")</f>
        <v>0.928919482710126</v>
      </c>
      <c r="O57" s="85" t="n">
        <f aca="false">IF(ISNUMBER(O53),1-O53/INDEX(B4_EffRef,1,3),"SLO 不可達")</f>
        <v>0.97521158818782</v>
      </c>
      <c r="P57" s="85" t="n">
        <f aca="false">IF(ISNUMBER(P53),1-P53/INDEX(B4_EffRef,1,3),"SLO 不可達")</f>
        <v>0.962339455319394</v>
      </c>
      <c r="Q57" s="85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1825</v>
      </c>
      <c r="B58" s="61" t="s">
        <v>99</v>
      </c>
      <c r="C58" s="85" t="str">
        <f aca="false">IF(ISNUMBER(C54),1-C54/INDEX(B4_EffRef,1,3),"SLO 不可達")</f>
        <v>SLO 不可達</v>
      </c>
      <c r="D58" s="85" t="str">
        <f aca="false">IF(ISNUMBER(D54),1-D54/INDEX(B4_EffRef,1,3),"SLO 不可達")</f>
        <v>SLO 不可達</v>
      </c>
      <c r="E58" s="85" t="str">
        <f aca="false">IF(ISNUMBER(E54),1-E54/INDEX(B4_EffRef,1,3),"SLO 不可達")</f>
        <v>SLO 不可達</v>
      </c>
      <c r="F58" s="85" t="n">
        <f aca="false">IF(ISNUMBER(F54),1-F54/INDEX(B4_EffRef,1,3),"SLO 不可達")</f>
        <v>0.88770508937071</v>
      </c>
      <c r="G58" s="85" t="n">
        <f aca="false">IF(ISNUMBER(G54),1-G54/INDEX(B4_EffRef,1,3),"SLO 不可達")</f>
        <v>0.850071984895342</v>
      </c>
      <c r="H58" s="85" t="n">
        <f aca="false">IF(ISNUMBER(H54),1-H54/INDEX(B4_EffRef,1,3),"SLO 不可達")</f>
        <v>0.756846089679097</v>
      </c>
      <c r="I58" s="85" t="n">
        <f aca="false">IF(ISNUMBER(I54),1-I54/INDEX(B4_EffRef,1,3),"SLO 不可達")</f>
        <v>0.887598442367136</v>
      </c>
      <c r="J58" s="85" t="n">
        <f aca="false">IF(ISNUMBER(J54),1-J54/INDEX(B4_EffRef,1,3),"SLO 不可達")</f>
        <v>0.854834983355426</v>
      </c>
      <c r="K58" s="85" t="n">
        <f aca="false">IF(ISNUMBER(K54),1-K54/INDEX(B4_EffRef,1,3),"SLO 不可達")</f>
        <v>0.752868999171386</v>
      </c>
      <c r="L58" s="85" t="n">
        <f aca="false">IF(ISNUMBER(L54),1-L54/INDEX(B4_EffRef,1,3),"SLO 不可達")</f>
        <v>0.948808196963959</v>
      </c>
      <c r="M58" s="85" t="n">
        <f aca="false">IF(ISNUMBER(M54),1-M54/INDEX(B4_EffRef,1,3),"SLO 不可達")</f>
        <v>0.934213260905041</v>
      </c>
      <c r="N58" s="85" t="n">
        <f aca="false">IF(ISNUMBER(N54),1-N54/INDEX(B4_EffRef,1,3),"SLO 不可達")</f>
        <v>0.893736585954144</v>
      </c>
      <c r="O58" s="85" t="n">
        <f aca="false">IF(ISNUMBER(O54),1-O54/INDEX(B4_EffRef,1,3),"SLO 不可達")</f>
        <v>0.966548995826375</v>
      </c>
      <c r="P58" s="85" t="n">
        <f aca="false">IF(ISNUMBER(P54),1-P54/INDEX(B4_EffRef,1,3),"SLO 不可達")</f>
        <v>0.949173502709934</v>
      </c>
      <c r="Q58" s="85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1826</v>
      </c>
      <c r="B59" s="61" t="s">
        <v>99</v>
      </c>
      <c r="C59" s="85" t="str">
        <f aca="false">IF(ISNUMBER(C55),1-C55/INDEX(B4_EffRef,1,3),"SLO 不可達")</f>
        <v>SLO 不可達</v>
      </c>
      <c r="D59" s="85" t="str">
        <f aca="false">IF(ISNUMBER(D55),1-D55/INDEX(B4_EffRef,1,3),"SLO 不可達")</f>
        <v>SLO 不可達</v>
      </c>
      <c r="E59" s="85" t="str">
        <f aca="false">IF(ISNUMBER(E55),1-E55/INDEX(B4_EffRef,1,3),"SLO 不可達")</f>
        <v>SLO 不可達</v>
      </c>
      <c r="F59" s="85" t="n">
        <f aca="false">IF(ISNUMBER(F55),1-F55/INDEX(B4_EffRef,1,3),"SLO 不可達")</f>
        <v>0.848156870909227</v>
      </c>
      <c r="G59" s="85" t="n">
        <f aca="false">IF(ISNUMBER(G55),1-G55/INDEX(B4_EffRef,1,3),"SLO 不可達")</f>
        <v>0.797280194986593</v>
      </c>
      <c r="H59" s="85" t="n">
        <f aca="false">IF(ISNUMBER(H55),1-H55/INDEX(B4_EffRef,1,3),"SLO 不可達")</f>
        <v>0.671246913262024</v>
      </c>
      <c r="I59" s="85" t="n">
        <f aca="false">IF(ISNUMBER(I55),1-I55/INDEX(B4_EffRef,1,3),"SLO 不可達")</f>
        <v>0.837191302010673</v>
      </c>
      <c r="J59" s="85" t="n">
        <f aca="false">IF(ISNUMBER(J55),1-J55/INDEX(B4_EffRef,1,3),"SLO 不可達")</f>
        <v>0.789742900307544</v>
      </c>
      <c r="K59" s="85" t="n">
        <f aca="false">IF(ISNUMBER(K55),1-K55/INDEX(B4_EffRef,1,3),"SLO 不可達")</f>
        <v>0.642074640497427</v>
      </c>
      <c r="L59" s="85" t="n">
        <f aca="false">IF(ISNUMBER(L55),1-L55/INDEX(B4_EffRef,1,3),"SLO 不可達")</f>
        <v>0.916469735874426</v>
      </c>
      <c r="M59" s="85" t="n">
        <f aca="false">IF(ISNUMBER(M55),1-M55/INDEX(B4_EffRef,1,3),"SLO 不可達")</f>
        <v>0.89266140568063</v>
      </c>
      <c r="N59" s="85" t="n">
        <f aca="false">IF(ISNUMBER(N55),1-N55/INDEX(B4_EffRef,1,3),"SLO 不可達")</f>
        <v>0.826632884658843</v>
      </c>
      <c r="O59" s="85" t="n">
        <f aca="false">IF(ISNUMBER(O55),1-O55/INDEX(B4_EffRef,1,3),"SLO 不可達")</f>
        <v>0.939540458994682</v>
      </c>
      <c r="P59" s="85" t="n">
        <f aca="false">IF(ISNUMBER(P55),1-P55/INDEX(B4_EffRef,1,3),"SLO 不可達")</f>
        <v>0.908145012974132</v>
      </c>
      <c r="Q59" s="85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1827</v>
      </c>
      <c r="B60" s="61" t="s">
        <v>99</v>
      </c>
      <c r="C60" s="118" t="str">
        <f aca="false">IF(ISNUMBER(C56),1-C56/INDEX(B4_EffRef,1,3),"SLO 不可達")</f>
        <v>SLO 不可達</v>
      </c>
      <c r="D60" s="118" t="str">
        <f aca="false">IF(ISNUMBER(D56),1-D56/INDEX(B4_EffRef,1,3),"SLO 不可達")</f>
        <v>SLO 不可達</v>
      </c>
      <c r="E60" s="118" t="str">
        <f aca="false">IF(ISNUMBER(E56),1-E56/INDEX(B4_EffRef,1,3),"SLO 不可達")</f>
        <v>SLO 不可達</v>
      </c>
      <c r="F60" s="118" t="n">
        <f aca="false">IF(ISNUMBER(F56),1-F56/INDEX(B4_EffRef,1,3),"SLO 不可達")</f>
        <v>0.700641184055096</v>
      </c>
      <c r="G60" s="118" t="n">
        <f aca="false">IF(ISNUMBER(G56),1-G56/INDEX(B4_EffRef,1,3),"SLO 不可達")</f>
        <v>0.600330195020367</v>
      </c>
      <c r="H60" s="118" t="n">
        <f aca="false">IF(ISNUMBER(H56),1-H56/INDEX(B4_EffRef,1,3),"SLO 不可達")</f>
        <v>0.351836697522433</v>
      </c>
      <c r="I60" s="118" t="n">
        <f aca="false">IF(ISNUMBER(I56),1-I56/INDEX(B4_EffRef,1,3),"SLO 不可達")</f>
        <v>0.698399760671424</v>
      </c>
      <c r="J60" s="118" t="n">
        <f aca="false">IF(ISNUMBER(J56),1-J56/INDEX(B4_EffRef,1,3),"SLO 不可達")</f>
        <v>0.610499561826163</v>
      </c>
      <c r="K60" s="118" t="n">
        <f aca="false">IF(ISNUMBER(K56),1-K56/INDEX(B4_EffRef,1,3),"SLO 不可達")</f>
        <v>0.336937778193166</v>
      </c>
      <c r="L60" s="118" t="n">
        <f aca="false">IF(ISNUMBER(L56),1-L56/INDEX(B4_EffRef,1,3),"SLO 不可達")</f>
        <v>0.827143680758333</v>
      </c>
      <c r="M60" s="118" t="n">
        <f aca="false">IF(ISNUMBER(M56),1-M56/INDEX(B4_EffRef,1,3),"SLO 不可達")</f>
        <v>0.77786560708595</v>
      </c>
      <c r="N60" s="118" t="n">
        <f aca="false">IF(ISNUMBER(N56),1-N56/INDEX(B4_EffRef,1,3),"SLO 不可達")</f>
        <v>0.641200906247841</v>
      </c>
      <c r="O60" s="118" t="n">
        <f aca="false">IF(ISNUMBER(O56),1-O56/INDEX(B4_EffRef,1,3),"SLO 不可達")</f>
        <v>0.871324431398251</v>
      </c>
      <c r="P60" s="118" t="n">
        <f aca="false">IF(ISNUMBER(P56),1-P56/INDEX(B4_EffRef,1,3),"SLO 不可達")</f>
        <v>0.804485863650053</v>
      </c>
      <c r="Q60" s="118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1828</v>
      </c>
      <c r="B61" s="61" t="s">
        <v>99</v>
      </c>
      <c r="C61" s="85" t="str">
        <f aca="false">IF(ISNUMBER(C55),1-C55/INDEX(B4_FrontRef,1,3),"SLO 不可達")</f>
        <v>SLO 不可達</v>
      </c>
      <c r="D61" s="85" t="str">
        <f aca="false">IF(ISNUMBER(D55),1-D55/INDEX(B4_FrontRef,1,3),"SLO 不可達")</f>
        <v>SLO 不可達</v>
      </c>
      <c r="E61" s="85" t="str">
        <f aca="false">IF(ISNUMBER(E55),1-E55/INDEX(B4_FrontRef,1,3),"SLO 不可達")</f>
        <v>SLO 不可達</v>
      </c>
      <c r="F61" s="85" t="n">
        <f aca="false">IF(ISNUMBER(F55),1-F55/INDEX(B4_FrontRef,1,3),"SLO 不可達")</f>
        <v>0.842403916534949</v>
      </c>
      <c r="G61" s="85" t="n">
        <f aca="false">IF(ISNUMBER(G55),1-G55/INDEX(B4_FrontRef,1,3),"SLO 不可達")</f>
        <v>0.789599651283445</v>
      </c>
      <c r="H61" s="85" t="n">
        <f aca="false">IF(ISNUMBER(H55),1-H55/INDEX(B4_FrontRef,1,3),"SLO 不可達")</f>
        <v>0.65879128540628</v>
      </c>
      <c r="I61" s="85" t="n">
        <f aca="false">IF(ISNUMBER(I55),1-I55/INDEX(B4_FrontRef,1,3),"SLO 不可達")</f>
        <v>0.831022889802122</v>
      </c>
      <c r="J61" s="85" t="n">
        <f aca="false">IF(ISNUMBER(J55),1-J55/INDEX(B4_FrontRef,1,3),"SLO 不可達")</f>
        <v>0.781776787460413</v>
      </c>
      <c r="K61" s="85" t="n">
        <f aca="false">IF(ISNUMBER(K55),1-K55/INDEX(B4_FrontRef,1,3),"SLO 不可達")</f>
        <v>0.628513748575975</v>
      </c>
      <c r="L61" s="85" t="n">
        <f aca="false">IF(ISNUMBER(L55),1-L55/INDEX(B4_FrontRef,1,3),"SLO 不可達")</f>
        <v>0.913304984191138</v>
      </c>
      <c r="M61" s="85" t="n">
        <f aca="false">IF(ISNUMBER(M55),1-M55/INDEX(B4_FrontRef,1,3),"SLO 不可達")</f>
        <v>0.888594616228806</v>
      </c>
      <c r="N61" s="85" t="n">
        <f aca="false">IF(ISNUMBER(N55),1-N55/INDEX(B4_FrontRef,1,3),"SLO 不可達")</f>
        <v>0.820064440564402</v>
      </c>
      <c r="O61" s="85" t="n">
        <f aca="false">IF(ISNUMBER(O55),1-O55/INDEX(B4_FrontRef,1,3),"SLO 不可達")</f>
        <v>0.937249799002518</v>
      </c>
      <c r="P61" s="85" t="n">
        <f aca="false">IF(ISNUMBER(P55),1-P55/INDEX(B4_FrontRef,1,3),"SLO 不可達")</f>
        <v>0.90466485847143</v>
      </c>
      <c r="Q61" s="85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5" t="s">
        <v>1839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26.85" hidden="false" customHeight="false" outlineLevel="0" collapsed="false">
      <c r="A64" s="6" t="s">
        <v>1840</v>
      </c>
      <c r="B64" s="61" t="s">
        <v>1814</v>
      </c>
      <c r="C64" s="95" t="n">
        <f aca="false">IF(AND(Fleet_1GW!C18=1,ISNUMBER(Fleet_1GW!C21)),Fleet_1GW!C21*INDEX(B4_EffRef,1,1)/1000000000,"SLO 不可達")</f>
        <v>0.140257484578294</v>
      </c>
      <c r="D64" s="95" t="n">
        <f aca="false">IF(AND(Fleet_1GW!D18=1,ISNUMBER(Fleet_1GW!D21)),Fleet_1GW!D21*INDEX(B4_EffRef,1,1)/1000000000,"SLO 不可達")</f>
        <v>0.140257484578294</v>
      </c>
      <c r="E64" s="95" t="n">
        <f aca="false">IF(AND(Fleet_1GW!E18=1,ISNUMBER(Fleet_1GW!E21)),Fleet_1GW!E21*INDEX(B4_EffRef,1,1)/1000000000,"SLO 不可達")</f>
        <v>0.140257484578294</v>
      </c>
      <c r="F64" s="95" t="n">
        <f aca="false">IF(AND(Fleet_1GW!F18=1,ISNUMBER(Fleet_1GW!F21)),Fleet_1GW!F21*INDEX(B4_EffRef,1,1)/1000000000,"SLO 不可達")</f>
        <v>0.330731407559226</v>
      </c>
      <c r="G64" s="95" t="n">
        <f aca="false">IF(AND(Fleet_1GW!G18=1,ISNUMBER(Fleet_1GW!G21)),Fleet_1GW!G21*INDEX(B4_EffRef,1,1)/1000000000,"SLO 不可達")</f>
        <v>0.330731407559226</v>
      </c>
      <c r="H64" s="95" t="n">
        <f aca="false">IF(AND(Fleet_1GW!H18=1,ISNUMBER(Fleet_1GW!H21)),Fleet_1GW!H21*INDEX(B4_EffRef,1,1)/1000000000,"SLO 不可達")</f>
        <v>0.330731407559226</v>
      </c>
      <c r="I64" s="95" t="n">
        <f aca="false">IF(AND(Fleet_1GW!I18=1,ISNUMBER(Fleet_1GW!I21)),Fleet_1GW!I21*INDEX(B4_EffRef,1,1)/1000000000,"SLO 不可達")</f>
        <v>0.430577634420929</v>
      </c>
      <c r="J64" s="95" t="n">
        <f aca="false">IF(AND(Fleet_1GW!J18=1,ISNUMBER(Fleet_1GW!J21)),Fleet_1GW!J21*INDEX(B4_EffRef,1,1)/1000000000,"SLO 不可達")</f>
        <v>0.430577634420929</v>
      </c>
      <c r="K64" s="95" t="n">
        <f aca="false">IF(AND(Fleet_1GW!K18=1,ISNUMBER(Fleet_1GW!K21)),Fleet_1GW!K21*INDEX(B4_EffRef,1,1)/1000000000,"SLO 不可達")</f>
        <v>0.430577634420929</v>
      </c>
      <c r="L64" s="95" t="n">
        <f aca="false">IF(AND(Fleet_1GW!L18=1,ISNUMBER(Fleet_1GW!L21)),Fleet_1GW!L21*INDEX(B4_EffRef,1,1)/1000000000,"SLO 不可達")</f>
        <v>0.798749212524483</v>
      </c>
      <c r="M64" s="95" t="n">
        <f aca="false">IF(AND(Fleet_1GW!M18=1,ISNUMBER(Fleet_1GW!M21)),Fleet_1GW!M21*INDEX(B4_EffRef,1,1)/1000000000,"SLO 不可達")</f>
        <v>0.798749212524483</v>
      </c>
      <c r="N64" s="95" t="n">
        <f aca="false">IF(AND(Fleet_1GW!N18=1,ISNUMBER(Fleet_1GW!N21)),Fleet_1GW!N21*INDEX(B4_EffRef,1,1)/1000000000,"SLO 不可達")</f>
        <v>0.798749212524483</v>
      </c>
      <c r="O64" s="95" t="n">
        <f aca="false">IF(AND(Fleet_1GW!O18=1,ISNUMBER(Fleet_1GW!O21)),Fleet_1GW!O21*INDEX(B4_EffRef,1,1)/1000000000,"SLO 不可達")</f>
        <v>1.12996107729852</v>
      </c>
      <c r="P64" s="95" t="n">
        <f aca="false">IF(AND(Fleet_1GW!P18=1,ISNUMBER(Fleet_1GW!P21)),Fleet_1GW!P21*INDEX(B4_EffRef,1,1)/1000000000,"SLO 不可達")</f>
        <v>1.12996107729852</v>
      </c>
      <c r="Q64" s="95" t="n">
        <f aca="false">IF(AND(Fleet_1GW!Q18=1,ISNUMBER(Fleet_1GW!Q21)),Fleet_1GW!Q21*INDEX(B4_EffRef,1,1)/1000000000,"SLO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1841</v>
      </c>
      <c r="B65" s="61" t="s">
        <v>1814</v>
      </c>
      <c r="C65" s="95" t="n">
        <f aca="false">IF(AND(Fleet_1GW!C18=1,ISNUMBER(Fleet_1GW!C24)),Fleet_1GW!C24*INDEX(B4_EffRef,1,2)/1000000000,"SLO 不可達")</f>
        <v>3.15579340301161</v>
      </c>
      <c r="D65" s="95" t="n">
        <f aca="false">IF(AND(Fleet_1GW!D18=1,ISNUMBER(Fleet_1GW!D24)),Fleet_1GW!D24*INDEX(B4_EffRef,1,2)/1000000000,"SLO 不可達")</f>
        <v>3.15579340301161</v>
      </c>
      <c r="E65" s="95" t="n">
        <f aca="false">IF(AND(Fleet_1GW!E18=1,ISNUMBER(Fleet_1GW!E24)),Fleet_1GW!E24*INDEX(B4_EffRef,1,2)/1000000000,"SLO 不可達")</f>
        <v>3.15579340301161</v>
      </c>
      <c r="F65" s="95" t="n">
        <f aca="false">IF(AND(Fleet_1GW!F18=1,ISNUMBER(Fleet_1GW!F24)),Fleet_1GW!F24*INDEX(B4_EffRef,1,2)/1000000000,"SLO 不可達")</f>
        <v>7.44145667008259</v>
      </c>
      <c r="G65" s="95" t="n">
        <f aca="false">IF(AND(Fleet_1GW!G18=1,ISNUMBER(Fleet_1GW!G24)),Fleet_1GW!G24*INDEX(B4_EffRef,1,2)/1000000000,"SLO 不可達")</f>
        <v>7.44145667008259</v>
      </c>
      <c r="H65" s="95" t="n">
        <f aca="false">IF(AND(Fleet_1GW!H18=1,ISNUMBER(Fleet_1GW!H24)),Fleet_1GW!H24*INDEX(B4_EffRef,1,2)/1000000000,"SLO 不可達")</f>
        <v>7.44145667008259</v>
      </c>
      <c r="I65" s="95" t="n">
        <f aca="false">IF(AND(Fleet_1GW!I18=1,ISNUMBER(Fleet_1GW!I24)),Fleet_1GW!I24*INDEX(B4_EffRef,1,2)/1000000000,"SLO 不可達")</f>
        <v>9.6879967744709</v>
      </c>
      <c r="J65" s="95" t="n">
        <f aca="false">IF(AND(Fleet_1GW!J18=1,ISNUMBER(Fleet_1GW!J24)),Fleet_1GW!J24*INDEX(B4_EffRef,1,2)/1000000000,"SLO 不可達")</f>
        <v>9.6879967744709</v>
      </c>
      <c r="K65" s="95" t="n">
        <f aca="false">IF(AND(Fleet_1GW!K18=1,ISNUMBER(Fleet_1GW!K24)),Fleet_1GW!K24*INDEX(B4_EffRef,1,2)/1000000000,"SLO 不可達")</f>
        <v>9.6879967744709</v>
      </c>
      <c r="L65" s="95" t="n">
        <f aca="false">IF(AND(Fleet_1GW!L18=1,ISNUMBER(Fleet_1GW!L24)),Fleet_1GW!L24*INDEX(B4_EffRef,1,2)/1000000000,"SLO 不可達")</f>
        <v>17.9718572818009</v>
      </c>
      <c r="M65" s="95" t="n">
        <f aca="false">IF(AND(Fleet_1GW!M18=1,ISNUMBER(Fleet_1GW!M24)),Fleet_1GW!M24*INDEX(B4_EffRef,1,2)/1000000000,"SLO 不可達")</f>
        <v>17.9718572818009</v>
      </c>
      <c r="N65" s="95" t="n">
        <f aca="false">IF(AND(Fleet_1GW!N18=1,ISNUMBER(Fleet_1GW!N24)),Fleet_1GW!N24*INDEX(B4_EffRef,1,2)/1000000000,"SLO 不可達")</f>
        <v>17.9718572818009</v>
      </c>
      <c r="O65" s="95" t="n">
        <f aca="false">IF(AND(Fleet_1GW!O18=1,ISNUMBER(Fleet_1GW!O24)),Fleet_1GW!O24*INDEX(B4_EffRef,1,2)/1000000000,"SLO 不可達")</f>
        <v>25.4241242392166</v>
      </c>
      <c r="P65" s="95" t="n">
        <f aca="false">IF(AND(Fleet_1GW!P18=1,ISNUMBER(Fleet_1GW!P24)),Fleet_1GW!P24*INDEX(B4_EffRef,1,2)/1000000000,"SLO 不可達")</f>
        <v>25.4241242392166</v>
      </c>
      <c r="Q65" s="95" t="n">
        <f aca="false">IF(AND(Fleet_1GW!Q18=1,ISNUMBER(Fleet_1GW!Q24)),Fleet_1GW!Q24*INDEX(B4_EffRef,1,2)/1000000000,"SLO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1842</v>
      </c>
      <c r="B66" s="61" t="s">
        <v>1814</v>
      </c>
      <c r="C66" s="95" t="str">
        <f aca="false">IF(AND(Fleet_1GW!C18=1,ISNUMBER(Fleet_1GW!C27)),Fleet_1GW!C27*INDEX(B4_EffRef,1,3)/1000000000,"SLO 不可達")</f>
        <v>SLO 不可達</v>
      </c>
      <c r="D66" s="95" t="str">
        <f aca="false">IF(AND(Fleet_1GW!D18=1,ISNUMBER(Fleet_1GW!D27)),Fleet_1GW!D27*INDEX(B4_EffRef,1,3)/1000000000,"SLO 不可達")</f>
        <v>SLO 不可達</v>
      </c>
      <c r="E66" s="95" t="str">
        <f aca="false">IF(AND(Fleet_1GW!E18=1,ISNUMBER(Fleet_1GW!E27)),Fleet_1GW!E27*INDEX(B4_EffRef,1,3)/1000000000,"SLO 不可達")</f>
        <v>SLO 不可達</v>
      </c>
      <c r="F66" s="95" t="n">
        <f aca="false">IF(AND(Fleet_1GW!F18=1,ISNUMBER(Fleet_1GW!F27)),Fleet_1GW!F27*INDEX(B4_EffRef,1,3)/1000000000,"SLO 不可達")</f>
        <v>12.402427783471</v>
      </c>
      <c r="G66" s="95" t="n">
        <f aca="false">IF(AND(Fleet_1GW!G18=1,ISNUMBER(Fleet_1GW!G27)),Fleet_1GW!G27*INDEX(B4_EffRef,1,3)/1000000000,"SLO 不可達")</f>
        <v>12.402427783471</v>
      </c>
      <c r="H66" s="95" t="n">
        <f aca="false">IF(AND(Fleet_1GW!H18=1,ISNUMBER(Fleet_1GW!H27)),Fleet_1GW!H27*INDEX(B4_EffRef,1,3)/1000000000,"SLO 不可達")</f>
        <v>12.402427783471</v>
      </c>
      <c r="I66" s="95" t="n">
        <f aca="false">IF(AND(Fleet_1GW!I18=1,ISNUMBER(Fleet_1GW!I27)),Fleet_1GW!I27*INDEX(B4_EffRef,1,3)/1000000000,"SLO 不可達")</f>
        <v>16.1466612907848</v>
      </c>
      <c r="J66" s="95" t="n">
        <f aca="false">IF(AND(Fleet_1GW!J18=1,ISNUMBER(Fleet_1GW!J27)),Fleet_1GW!J27*INDEX(B4_EffRef,1,3)/1000000000,"SLO 不可達")</f>
        <v>16.1466612907848</v>
      </c>
      <c r="K66" s="95" t="n">
        <f aca="false">IF(AND(Fleet_1GW!K18=1,ISNUMBER(Fleet_1GW!K27)),Fleet_1GW!K27*INDEX(B4_EffRef,1,3)/1000000000,"SLO 不可達")</f>
        <v>16.1466612907848</v>
      </c>
      <c r="L66" s="95" t="n">
        <f aca="false">IF(AND(Fleet_1GW!L18=1,ISNUMBER(Fleet_1GW!L27)),Fleet_1GW!L27*INDEX(B4_EffRef,1,3)/1000000000,"SLO 不可達")</f>
        <v>29.9530954696681</v>
      </c>
      <c r="M66" s="95" t="n">
        <f aca="false">IF(AND(Fleet_1GW!M18=1,ISNUMBER(Fleet_1GW!M27)),Fleet_1GW!M27*INDEX(B4_EffRef,1,3)/1000000000,"SLO 不可達")</f>
        <v>29.9530954696681</v>
      </c>
      <c r="N66" s="95" t="n">
        <f aca="false">IF(AND(Fleet_1GW!N18=1,ISNUMBER(Fleet_1GW!N27)),Fleet_1GW!N27*INDEX(B4_EffRef,1,3)/1000000000,"SLO 不可達")</f>
        <v>29.9530954696681</v>
      </c>
      <c r="O66" s="95" t="n">
        <f aca="false">IF(AND(Fleet_1GW!O18=1,ISNUMBER(Fleet_1GW!O27)),Fleet_1GW!O27*INDEX(B4_EffRef,1,3)/1000000000,"SLO 不可達")</f>
        <v>42.3735403986943</v>
      </c>
      <c r="P66" s="95" t="n">
        <f aca="false">IF(AND(Fleet_1GW!P18=1,ISNUMBER(Fleet_1GW!P27)),Fleet_1GW!P27*INDEX(B4_EffRef,1,3)/1000000000,"SLO 不可達")</f>
        <v>42.3735403986943</v>
      </c>
      <c r="Q66" s="95" t="n">
        <f aca="false">IF(AND(Fleet_1GW!Q18=1,ISNUMBER(Fleet_1GW!Q27)),Fleet_1GW!Q27*INDEX(B4_EffRef,1,3)/1000000000,"SLO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1843</v>
      </c>
      <c r="B67" s="61" t="s">
        <v>1814</v>
      </c>
      <c r="C67" s="162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3.2960508875899</v>
      </c>
      <c r="D67" s="162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3.2960508875899</v>
      </c>
      <c r="E67" s="162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3.2960508875899</v>
      </c>
      <c r="F67" s="162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20.1746158611128</v>
      </c>
      <c r="G67" s="162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20.1746158611128</v>
      </c>
      <c r="H67" s="162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20.1746158611128</v>
      </c>
      <c r="I67" s="162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26.2652356996766</v>
      </c>
      <c r="J67" s="162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26.2652356996766</v>
      </c>
      <c r="K67" s="162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26.2652356996766</v>
      </c>
      <c r="L67" s="162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48.7237019639935</v>
      </c>
      <c r="M67" s="162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48.7237019639935</v>
      </c>
      <c r="N67" s="162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48.7237019639935</v>
      </c>
      <c r="O67" s="162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68.9276257152094</v>
      </c>
      <c r="P67" s="162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68.9276257152094</v>
      </c>
      <c r="Q67" s="162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68.9276257152094</v>
      </c>
    </row>
    <row r="68" customFormat="false" ht="26.85" hidden="false" customHeight="false" outlineLevel="0" collapsed="false">
      <c r="A68" s="6" t="s">
        <v>1844</v>
      </c>
      <c r="B68" s="61" t="s">
        <v>1814</v>
      </c>
      <c r="C68" s="95" t="n">
        <f aca="false">IF(AND(Fleet_1GW!C18=1,ISNUMBER(Fleet_1GW!C21)),Fleet_1GW!C21*INDEX(B4_FrontRef,1,1)/1000000000,"SLO 不可達")</f>
        <v>0.140257484578294</v>
      </c>
      <c r="D68" s="95" t="n">
        <f aca="false">IF(AND(Fleet_1GW!D18=1,ISNUMBER(Fleet_1GW!D21)),Fleet_1GW!D21*INDEX(B4_FrontRef,1,1)/1000000000,"SLO 不可達")</f>
        <v>0.140257484578294</v>
      </c>
      <c r="E68" s="95" t="n">
        <f aca="false">IF(AND(Fleet_1GW!E18=1,ISNUMBER(Fleet_1GW!E21)),Fleet_1GW!E21*INDEX(B4_FrontRef,1,1)/1000000000,"SLO 不可達")</f>
        <v>0.140257484578294</v>
      </c>
      <c r="F68" s="95" t="n">
        <f aca="false">IF(AND(Fleet_1GW!F18=1,ISNUMBER(Fleet_1GW!F21)),Fleet_1GW!F21*INDEX(B4_FrontRef,1,1)/1000000000,"SLO 不可達")</f>
        <v>0.330731407559226</v>
      </c>
      <c r="G68" s="95" t="n">
        <f aca="false">IF(AND(Fleet_1GW!G18=1,ISNUMBER(Fleet_1GW!G21)),Fleet_1GW!G21*INDEX(B4_FrontRef,1,1)/1000000000,"SLO 不可達")</f>
        <v>0.330731407559226</v>
      </c>
      <c r="H68" s="95" t="n">
        <f aca="false">IF(AND(Fleet_1GW!H18=1,ISNUMBER(Fleet_1GW!H21)),Fleet_1GW!H21*INDEX(B4_FrontRef,1,1)/1000000000,"SLO 不可達")</f>
        <v>0.330731407559226</v>
      </c>
      <c r="I68" s="95" t="n">
        <f aca="false">IF(AND(Fleet_1GW!I18=1,ISNUMBER(Fleet_1GW!I21)),Fleet_1GW!I21*INDEX(B4_FrontRef,1,1)/1000000000,"SLO 不可達")</f>
        <v>0.430577634420929</v>
      </c>
      <c r="J68" s="95" t="n">
        <f aca="false">IF(AND(Fleet_1GW!J18=1,ISNUMBER(Fleet_1GW!J21)),Fleet_1GW!J21*INDEX(B4_FrontRef,1,1)/1000000000,"SLO 不可達")</f>
        <v>0.430577634420929</v>
      </c>
      <c r="K68" s="95" t="n">
        <f aca="false">IF(AND(Fleet_1GW!K18=1,ISNUMBER(Fleet_1GW!K21)),Fleet_1GW!K21*INDEX(B4_FrontRef,1,1)/1000000000,"SLO 不可達")</f>
        <v>0.430577634420929</v>
      </c>
      <c r="L68" s="95" t="n">
        <f aca="false">IF(AND(Fleet_1GW!L18=1,ISNUMBER(Fleet_1GW!L21)),Fleet_1GW!L21*INDEX(B4_FrontRef,1,1)/1000000000,"SLO 不可達")</f>
        <v>0.798749212524483</v>
      </c>
      <c r="M68" s="95" t="n">
        <f aca="false">IF(AND(Fleet_1GW!M18=1,ISNUMBER(Fleet_1GW!M21)),Fleet_1GW!M21*INDEX(B4_FrontRef,1,1)/1000000000,"SLO 不可達")</f>
        <v>0.798749212524483</v>
      </c>
      <c r="N68" s="95" t="n">
        <f aca="false">IF(AND(Fleet_1GW!N18=1,ISNUMBER(Fleet_1GW!N21)),Fleet_1GW!N21*INDEX(B4_FrontRef,1,1)/1000000000,"SLO 不可達")</f>
        <v>0.798749212524483</v>
      </c>
      <c r="O68" s="95" t="n">
        <f aca="false">IF(AND(Fleet_1GW!O18=1,ISNUMBER(Fleet_1GW!O21)),Fleet_1GW!O21*INDEX(B4_FrontRef,1,1)/1000000000,"SLO 不可達")</f>
        <v>1.12996107729852</v>
      </c>
      <c r="P68" s="95" t="n">
        <f aca="false">IF(AND(Fleet_1GW!P18=1,ISNUMBER(Fleet_1GW!P21)),Fleet_1GW!P21*INDEX(B4_FrontRef,1,1)/1000000000,"SLO 不可達")</f>
        <v>1.12996107729852</v>
      </c>
      <c r="Q68" s="95" t="n">
        <f aca="false">IF(AND(Fleet_1GW!Q18=1,ISNUMBER(Fleet_1GW!Q21)),Fleet_1GW!Q21*INDEX(B4_FrontRef,1,1)/1000000000,"SLO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1845</v>
      </c>
      <c r="B69" s="61" t="s">
        <v>1814</v>
      </c>
      <c r="C69" s="95" t="n">
        <f aca="false">IF(AND(Fleet_1GW!C18=1,ISNUMBER(Fleet_1GW!C24)),Fleet_1GW!C24*INDEX(B4_FrontRef,1,2)/1000000000,"SLO 不可達")</f>
        <v>3.15579340301161</v>
      </c>
      <c r="D69" s="95" t="n">
        <f aca="false">IF(AND(Fleet_1GW!D18=1,ISNUMBER(Fleet_1GW!D24)),Fleet_1GW!D24*INDEX(B4_FrontRef,1,2)/1000000000,"SLO 不可達")</f>
        <v>3.15579340301161</v>
      </c>
      <c r="E69" s="95" t="n">
        <f aca="false">IF(AND(Fleet_1GW!E18=1,ISNUMBER(Fleet_1GW!E24)),Fleet_1GW!E24*INDEX(B4_FrontRef,1,2)/1000000000,"SLO 不可達")</f>
        <v>3.15579340301161</v>
      </c>
      <c r="F69" s="95" t="n">
        <f aca="false">IF(AND(Fleet_1GW!F18=1,ISNUMBER(Fleet_1GW!F24)),Fleet_1GW!F24*INDEX(B4_FrontRef,1,2)/1000000000,"SLO 不可達")</f>
        <v>7.44145667008259</v>
      </c>
      <c r="G69" s="95" t="n">
        <f aca="false">IF(AND(Fleet_1GW!G18=1,ISNUMBER(Fleet_1GW!G24)),Fleet_1GW!G24*INDEX(B4_FrontRef,1,2)/1000000000,"SLO 不可達")</f>
        <v>7.44145667008259</v>
      </c>
      <c r="H69" s="95" t="n">
        <f aca="false">IF(AND(Fleet_1GW!H18=1,ISNUMBER(Fleet_1GW!H24)),Fleet_1GW!H24*INDEX(B4_FrontRef,1,2)/1000000000,"SLO 不可達")</f>
        <v>7.44145667008259</v>
      </c>
      <c r="I69" s="95" t="n">
        <f aca="false">IF(AND(Fleet_1GW!I18=1,ISNUMBER(Fleet_1GW!I24)),Fleet_1GW!I24*INDEX(B4_FrontRef,1,2)/1000000000,"SLO 不可達")</f>
        <v>9.68799677447089</v>
      </c>
      <c r="J69" s="95" t="n">
        <f aca="false">IF(AND(Fleet_1GW!J18=1,ISNUMBER(Fleet_1GW!J24)),Fleet_1GW!J24*INDEX(B4_FrontRef,1,2)/1000000000,"SLO 不可達")</f>
        <v>9.68799677447089</v>
      </c>
      <c r="K69" s="95" t="n">
        <f aca="false">IF(AND(Fleet_1GW!K18=1,ISNUMBER(Fleet_1GW!K24)),Fleet_1GW!K24*INDEX(B4_FrontRef,1,2)/1000000000,"SLO 不可達")</f>
        <v>9.68799677447089</v>
      </c>
      <c r="L69" s="95" t="n">
        <f aca="false">IF(AND(Fleet_1GW!L18=1,ISNUMBER(Fleet_1GW!L24)),Fleet_1GW!L24*INDEX(B4_FrontRef,1,2)/1000000000,"SLO 不可達")</f>
        <v>17.9718572818009</v>
      </c>
      <c r="M69" s="95" t="n">
        <f aca="false">IF(AND(Fleet_1GW!M18=1,ISNUMBER(Fleet_1GW!M24)),Fleet_1GW!M24*INDEX(B4_FrontRef,1,2)/1000000000,"SLO 不可達")</f>
        <v>17.9718572818009</v>
      </c>
      <c r="N69" s="95" t="n">
        <f aca="false">IF(AND(Fleet_1GW!N18=1,ISNUMBER(Fleet_1GW!N24)),Fleet_1GW!N24*INDEX(B4_FrontRef,1,2)/1000000000,"SLO 不可達")</f>
        <v>17.9718572818009</v>
      </c>
      <c r="O69" s="95" t="n">
        <f aca="false">IF(AND(Fleet_1GW!O18=1,ISNUMBER(Fleet_1GW!O24)),Fleet_1GW!O24*INDEX(B4_FrontRef,1,2)/1000000000,"SLO 不可達")</f>
        <v>25.4241242392166</v>
      </c>
      <c r="P69" s="95" t="n">
        <f aca="false">IF(AND(Fleet_1GW!P18=1,ISNUMBER(Fleet_1GW!P24)),Fleet_1GW!P24*INDEX(B4_FrontRef,1,2)/1000000000,"SLO 不可達")</f>
        <v>25.4241242392166</v>
      </c>
      <c r="Q69" s="95" t="n">
        <f aca="false">IF(AND(Fleet_1GW!Q18=1,ISNUMBER(Fleet_1GW!Q24)),Fleet_1GW!Q24*INDEX(B4_FrontRef,1,2)/1000000000,"SLO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1846</v>
      </c>
      <c r="B70" s="61" t="s">
        <v>1814</v>
      </c>
      <c r="C70" s="95" t="str">
        <f aca="false">IF(AND(Fleet_1GW!C18=1,ISNUMBER(Fleet_1GW!C27)),Fleet_1GW!C27*INDEX(B4_FrontRef,1,3)/1000000000,"SLO 不可達")</f>
        <v>SLO 不可達</v>
      </c>
      <c r="D70" s="95" t="str">
        <f aca="false">IF(AND(Fleet_1GW!D18=1,ISNUMBER(Fleet_1GW!D27)),Fleet_1GW!D27*INDEX(B4_FrontRef,1,3)/1000000000,"SLO 不可達")</f>
        <v>SLO 不可達</v>
      </c>
      <c r="E70" s="95" t="str">
        <f aca="false">IF(AND(Fleet_1GW!E18=1,ISNUMBER(Fleet_1GW!E27)),Fleet_1GW!E27*INDEX(B4_FrontRef,1,3)/1000000000,"SLO 不可達")</f>
        <v>SLO 不可達</v>
      </c>
      <c r="F70" s="95" t="n">
        <f aca="false">IF(AND(Fleet_1GW!F18=1,ISNUMBER(Fleet_1GW!F27)),Fleet_1GW!F27*INDEX(B4_FrontRef,1,3)/1000000000,"SLO 不可達")</f>
        <v>11.9496842913752</v>
      </c>
      <c r="G70" s="95" t="n">
        <f aca="false">IF(AND(Fleet_1GW!G18=1,ISNUMBER(Fleet_1GW!G27)),Fleet_1GW!G27*INDEX(B4_FrontRef,1,3)/1000000000,"SLO 不可達")</f>
        <v>11.9496842913752</v>
      </c>
      <c r="H70" s="95" t="n">
        <f aca="false">IF(AND(Fleet_1GW!H18=1,ISNUMBER(Fleet_1GW!H27)),Fleet_1GW!H27*INDEX(B4_FrontRef,1,3)/1000000000,"SLO 不可達")</f>
        <v>11.9496842913752</v>
      </c>
      <c r="I70" s="95" t="n">
        <f aca="false">IF(AND(Fleet_1GW!I18=1,ISNUMBER(Fleet_1GW!I27)),Fleet_1GW!I27*INDEX(B4_FrontRef,1,3)/1000000000,"SLO 不可達")</f>
        <v>15.5572367082672</v>
      </c>
      <c r="J70" s="95" t="n">
        <f aca="false">IF(AND(Fleet_1GW!J18=1,ISNUMBER(Fleet_1GW!J27)),Fleet_1GW!J27*INDEX(B4_FrontRef,1,3)/1000000000,"SLO 不可達")</f>
        <v>15.5572367082672</v>
      </c>
      <c r="K70" s="95" t="n">
        <f aca="false">IF(AND(Fleet_1GW!K18=1,ISNUMBER(Fleet_1GW!K27)),Fleet_1GW!K27*INDEX(B4_FrontRef,1,3)/1000000000,"SLO 不可達")</f>
        <v>15.5572367082672</v>
      </c>
      <c r="L70" s="95" t="n">
        <f aca="false">IF(AND(Fleet_1GW!L18=1,ISNUMBER(Fleet_1GW!L27)),Fleet_1GW!L27*INDEX(B4_FrontRef,1,3)/1000000000,"SLO 不可達")</f>
        <v>28.8596749492046</v>
      </c>
      <c r="M70" s="95" t="n">
        <f aca="false">IF(AND(Fleet_1GW!M18=1,ISNUMBER(Fleet_1GW!M27)),Fleet_1GW!M27*INDEX(B4_FrontRef,1,3)/1000000000,"SLO 不可達")</f>
        <v>28.8596749492046</v>
      </c>
      <c r="N70" s="95" t="n">
        <f aca="false">IF(AND(Fleet_1GW!N18=1,ISNUMBER(Fleet_1GW!N27)),Fleet_1GW!N27*INDEX(B4_FrontRef,1,3)/1000000000,"SLO 不可達")</f>
        <v>28.8596749492046</v>
      </c>
      <c r="O70" s="95" t="n">
        <f aca="false">IF(AND(Fleet_1GW!O18=1,ISNUMBER(Fleet_1GW!O27)),Fleet_1GW!O27*INDEX(B4_FrontRef,1,3)/1000000000,"SLO 不可達")</f>
        <v>40.8267186806004</v>
      </c>
      <c r="P70" s="95" t="n">
        <f aca="false">IF(AND(Fleet_1GW!P18=1,ISNUMBER(Fleet_1GW!P27)),Fleet_1GW!P27*INDEX(B4_FrontRef,1,3)/1000000000,"SLO 不可達")</f>
        <v>40.8267186806004</v>
      </c>
      <c r="Q70" s="95" t="n">
        <f aca="false">IF(AND(Fleet_1GW!Q18=1,ISNUMBER(Fleet_1GW!Q27)),Fleet_1GW!Q27*INDEX(B4_FrontRef,1,3)/1000000000,"SLO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1847</v>
      </c>
      <c r="B71" s="61" t="s">
        <v>1814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3.2960508875899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3.2960508875899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3.2960508875899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19.7218723690171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19.7218723690171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19.7218723690171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25.6758111171591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25.6758111171591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25.6758111171591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47.6302814435299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47.6302814435299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47.6302814435299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67.3808039971155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67.3808039971155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67.3808039971155</v>
      </c>
    </row>
    <row r="72" customFormat="false" ht="15" hidden="false" customHeight="false" outlineLevel="0" collapsed="false">
      <c r="A72" s="5" t="s">
        <v>1848</v>
      </c>
      <c r="B72" s="61" t="s">
        <v>1814</v>
      </c>
      <c r="C72" s="74" t="n">
        <f aca="false">INDEX(IF_HoldEcon,1,C$7)</f>
        <v>6.79107465326444</v>
      </c>
      <c r="D72" s="74" t="n">
        <f aca="false">INDEX(IF_HoldEcon,1,D$7)</f>
        <v>9.70308728611469</v>
      </c>
      <c r="E72" s="74" t="n">
        <f aca="false">INDEX(IF_HoldEcon,1,E$7)</f>
        <v>16.6637697337026</v>
      </c>
      <c r="F72" s="74" t="n">
        <f aca="false">INDEX(IF_HoldEcon,1,F$7)</f>
        <v>6.6118162762144</v>
      </c>
      <c r="G72" s="74" t="n">
        <f aca="false">INDEX(IF_HoldEcon,1,G$7)</f>
        <v>8.82816556596761</v>
      </c>
      <c r="H72" s="74" t="n">
        <f aca="false">INDEX(IF_HoldEcon,1,H$7)</f>
        <v>14.3185748619737</v>
      </c>
      <c r="I72" s="74" t="n">
        <f aca="false">INDEX(IF_HoldEcon,1,I$7)</f>
        <v>8.42889912085495</v>
      </c>
      <c r="J72" s="74" t="n">
        <f aca="false">INDEX(IF_HoldEcon,1,J$7)</f>
        <v>10.8864110021101</v>
      </c>
      <c r="K72" s="74" t="n">
        <f aca="false">INDEX(IF_HoldEcon,1,K$7)</f>
        <v>18.5346455040469</v>
      </c>
      <c r="L72" s="74" t="n">
        <f aca="false">INDEX(IF_HoldEcon,1,L$7)</f>
        <v>9.51207691858967</v>
      </c>
      <c r="M72" s="74" t="n">
        <f aca="false">INDEX(IF_HoldEcon,1,M$7)</f>
        <v>12.2254710045841</v>
      </c>
      <c r="N72" s="74" t="n">
        <f aca="false">INDEX(IF_HoldEcon,1,N$7)</f>
        <v>19.7506269894487</v>
      </c>
      <c r="O72" s="74" t="n">
        <f aca="false">INDEX(IF_HoldEcon,1,O$7)</f>
        <v>10.1025446864987</v>
      </c>
      <c r="P72" s="74" t="n">
        <f aca="false">INDEX(IF_HoldEcon,1,P$7)</f>
        <v>15.3544827030524</v>
      </c>
      <c r="Q72" s="74" t="n">
        <f aca="false">INDEX(IF_HoldEcon,1,Q$7)</f>
        <v>28.0302450108258</v>
      </c>
    </row>
    <row r="73" customFormat="false" ht="15" hidden="false" customHeight="false" outlineLevel="0" collapsed="false">
      <c r="A73" s="5" t="s">
        <v>1849</v>
      </c>
      <c r="B73" s="61" t="s">
        <v>103</v>
      </c>
      <c r="C73" s="104" t="n">
        <f aca="false">IF(ISNUMBER(C67),C67/C72,"SLO 不可達")</f>
        <v>0.485350412987363</v>
      </c>
      <c r="D73" s="104" t="n">
        <f aca="false">IF(ISNUMBER(D67),D67/D72,"SLO 不可達")</f>
        <v>0.339690944788945</v>
      </c>
      <c r="E73" s="104" t="n">
        <f aca="false">IF(ISNUMBER(E67),E67/E72,"SLO 不可達")</f>
        <v>0.197797433609732</v>
      </c>
      <c r="F73" s="104" t="n">
        <f aca="false">IF(ISNUMBER(F67),F67/F72,"SLO 不可達")</f>
        <v>3.05129710480458</v>
      </c>
      <c r="G73" s="104" t="n">
        <f aca="false">IF(ISNUMBER(G67),G67/G72,"SLO 不可達")</f>
        <v>2.28525572049594</v>
      </c>
      <c r="H73" s="104" t="n">
        <f aca="false">IF(ISNUMBER(H67),H67/H72,"SLO 不可達")</f>
        <v>1.40898211278632</v>
      </c>
      <c r="I73" s="104" t="n">
        <f aca="false">IF(ISNUMBER(I67),I67/I72,"SLO 不可達")</f>
        <v>3.11609325524975</v>
      </c>
      <c r="J73" s="104" t="n">
        <f aca="false">IF(ISNUMBER(J67),J67/J72,"SLO 不可達")</f>
        <v>2.41266251059103</v>
      </c>
      <c r="K73" s="104" t="n">
        <f aca="false">IF(ISNUMBER(K67),K67/K72,"SLO 不可達")</f>
        <v>1.41708864590595</v>
      </c>
      <c r="L73" s="104" t="n">
        <f aca="false">IF(ISNUMBER(L67),L67/L72,"SLO 不可達")</f>
        <v>5.12229898696168</v>
      </c>
      <c r="M73" s="104" t="n">
        <f aca="false">IF(ISNUMBER(M67),M67/M72,"SLO 不可達")</f>
        <v>3.98542534236299</v>
      </c>
      <c r="N73" s="104" t="n">
        <f aca="false">IF(ISNUMBER(N67),N67/N72,"SLO 不可達")</f>
        <v>2.46694456788754</v>
      </c>
      <c r="O73" s="104" t="n">
        <f aca="false">IF(ISNUMBER(O67),O67/O72,"SLO 不可達")</f>
        <v>6.82279839923167</v>
      </c>
      <c r="P73" s="104" t="n">
        <f aca="false">IF(ISNUMBER(P67),P67/P72,"SLO 不可達")</f>
        <v>4.48908810855002</v>
      </c>
      <c r="Q73" s="104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1850</v>
      </c>
      <c r="B74" s="61" t="s">
        <v>807</v>
      </c>
      <c r="C74" s="94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0.345719114424232</v>
      </c>
      <c r="D74" s="94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0.345719114424232</v>
      </c>
      <c r="E74" s="94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0.345719114424232</v>
      </c>
      <c r="F74" s="94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0.4676289657332</v>
      </c>
      <c r="G74" s="94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0.4676289657332</v>
      </c>
      <c r="H74" s="94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0.4676289657332</v>
      </c>
      <c r="I74" s="94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0.428991641549732</v>
      </c>
      <c r="J74" s="94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0.428991641549732</v>
      </c>
      <c r="K74" s="94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0.428991641549732</v>
      </c>
      <c r="L74" s="94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0.506498513793652</v>
      </c>
      <c r="M74" s="94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0.506498513793652</v>
      </c>
      <c r="N74" s="94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0.506498513793652</v>
      </c>
      <c r="O74" s="94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0.522135965346108</v>
      </c>
      <c r="P74" s="94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0.522135965346108</v>
      </c>
      <c r="Q74" s="94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0.522135965346108</v>
      </c>
    </row>
    <row r="76" customFormat="false" ht="15" hidden="false" customHeight="false" outlineLevel="0" collapsed="false">
      <c r="A76" s="75" t="s">
        <v>1851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</row>
    <row r="77" customFormat="false" ht="15" hidden="false" customHeight="false" outlineLevel="0" collapsed="false">
      <c r="A77" s="59" t="s">
        <v>1852</v>
      </c>
      <c r="C77" s="81" t="str">
        <f aca="false">Workload!C4</f>
        <v>一般聊天</v>
      </c>
      <c r="D77" s="81" t="str">
        <f aca="false">Workload!D4</f>
        <v>推理聊天</v>
      </c>
      <c r="E77" s="81" t="str">
        <f aca="false">Workload!E4</f>
        <v>單代理（工具迴圈）</v>
      </c>
      <c r="F77" s="81" t="str">
        <f aca="false">Workload!F4</f>
        <v>多代理研究</v>
      </c>
      <c r="G77" s="81" t="str">
        <f aca="false">Workload!G4</f>
        <v>Coding agent（長程）</v>
      </c>
    </row>
    <row r="78" customFormat="false" ht="15" hidden="false" customHeight="false" outlineLevel="0" collapsed="false">
      <c r="A78" s="61" t="s">
        <v>1853</v>
      </c>
      <c r="B78" s="61" t="s">
        <v>435</v>
      </c>
      <c r="C78" s="163" t="n">
        <f aca="false">(Workload!C32*INDEX(B4_EffIn,1,1)+Workload!C33*INDEX(B4_EffCache,1,1)+Workload!C34*INDEX(B4_EffOut,1,1))/1000000</f>
        <v>0.000328</v>
      </c>
      <c r="D78" s="163" t="n">
        <f aca="false">(Workload!D32*INDEX(B4_EffIn,1,1)+Workload!D33*INDEX(B4_EffCache,1,1)+Workload!D34*INDEX(B4_EffOut,1,1))/1000000</f>
        <v>0.001608</v>
      </c>
      <c r="E78" s="163" t="n">
        <f aca="false">(Workload!E32*INDEX(B4_EffIn,1,1)+Workload!E33*INDEX(B4_EffCache,1,1)+Workload!E34*INDEX(B4_EffOut,1,1))/1000000</f>
        <v>0.00165408</v>
      </c>
      <c r="F78" s="163" t="n">
        <f aca="false">(Workload!F32*INDEX(B4_EffIn,1,1)+Workload!F33*INDEX(B4_EffCache,1,1)+Workload!F34*INDEX(B4_EffOut,1,1))/1000000</f>
        <v>0.00661632</v>
      </c>
      <c r="G78" s="16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1" t="s">
        <v>1854</v>
      </c>
      <c r="B79" s="61" t="s">
        <v>435</v>
      </c>
      <c r="C79" s="163" t="n">
        <f aca="false">(Workload!C32*INDEX(B4_EffIn,1,2)+Workload!C33*INDEX(B4_EffCache,1,2)+Workload!C34*INDEX(B4_EffOut,1,2))/1000000</f>
        <v>0.00656</v>
      </c>
      <c r="D79" s="163" t="n">
        <f aca="false">(Workload!D32*INDEX(B4_EffIn,1,2)+Workload!D33*INDEX(B4_EffCache,1,2)+Workload!D34*INDEX(B4_EffOut,1,2))/1000000</f>
        <v>0.03216</v>
      </c>
      <c r="E79" s="163" t="n">
        <f aca="false">(Workload!E32*INDEX(B4_EffIn,1,2)+Workload!E33*INDEX(B4_EffCache,1,2)+Workload!E34*INDEX(B4_EffOut,1,2))/1000000</f>
        <v>0.0330816</v>
      </c>
      <c r="F79" s="163" t="n">
        <f aca="false">(Workload!F32*INDEX(B4_EffIn,1,2)+Workload!F33*INDEX(B4_EffCache,1,2)+Workload!F34*INDEX(B4_EffOut,1,2))/1000000</f>
        <v>0.1323264</v>
      </c>
      <c r="G79" s="16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1" t="s">
        <v>1855</v>
      </c>
      <c r="B80" s="61" t="s">
        <v>435</v>
      </c>
      <c r="C80" s="163" t="n">
        <f aca="false">(Workload!C32*INDEX(B4_EffIn,1,3)+Workload!C33*INDEX(B4_EffCache,1,3)+Workload!C34*INDEX(B4_EffOut,1,3))/1000000</f>
        <v>0.0328</v>
      </c>
      <c r="D80" s="163" t="n">
        <f aca="false">(Workload!D32*INDEX(B4_EffIn,1,3)+Workload!D33*INDEX(B4_EffCache,1,3)+Workload!D34*INDEX(B4_EffOut,1,3))/1000000</f>
        <v>0.1608</v>
      </c>
      <c r="E80" s="163" t="n">
        <f aca="false">(Workload!E32*INDEX(B4_EffIn,1,3)+Workload!E33*INDEX(B4_EffCache,1,3)+Workload!E34*INDEX(B4_EffOut,1,3))/1000000</f>
        <v>0.165408</v>
      </c>
      <c r="F80" s="163" t="n">
        <f aca="false">(Workload!F32*INDEX(B4_EffIn,1,3)+Workload!F33*INDEX(B4_EffCache,1,3)+Workload!F34*INDEX(B4_EffOut,1,3))/1000000</f>
        <v>0.661632</v>
      </c>
      <c r="G80" s="16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1" t="s">
        <v>1856</v>
      </c>
      <c r="B81" s="61" t="s">
        <v>103</v>
      </c>
      <c r="C81" s="108" t="n">
        <f aca="false">IF(ISNUMBER(Workload!C43),IF(Workload!C43&gt;0,C78/Workload!C43,0),"SLO 不可達")</f>
        <v>3.32864180305216</v>
      </c>
      <c r="D81" s="108" t="n">
        <f aca="false">IF(ISNUMBER(Workload!D43),IF(Workload!D43&gt;0,D78/Workload!D43,0),"SLO 不可達")</f>
        <v>2.46883000212729</v>
      </c>
      <c r="E81" s="108" t="n">
        <f aca="false">IF(ISNUMBER(Workload!E43),IF(Workload!E43&gt;0,E78/Workload!E43,0),"SLO 不可達")</f>
        <v>3.51244401964252</v>
      </c>
      <c r="F81" s="108" t="n">
        <f aca="false">IF(ISNUMBER(Workload!F43),IF(Workload!F43&gt;0,F78/Workload!F43,0),"SLO 不可達")</f>
        <v>3.51244401964252</v>
      </c>
      <c r="G81" s="108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61" t="s">
        <v>1857</v>
      </c>
      <c r="B82" s="61" t="s">
        <v>103</v>
      </c>
      <c r="C82" s="108" t="n">
        <f aca="false">IF(ISNUMBER(Workload!C44),IF(Workload!C44&gt;0,C79/Workload!C44,0),"SLO 不可達")</f>
        <v>20.7279835049917</v>
      </c>
      <c r="D82" s="108" t="n">
        <f aca="false">IF(ISNUMBER(Workload!D44),IF(Workload!D44&gt;0,D79/Workload!D44,0),"SLO 不可達")</f>
        <v>15.5173983320681</v>
      </c>
      <c r="E82" s="108" t="n">
        <f aca="false">IF(ISNUMBER(Workload!E44),IF(Workload!E44&gt;0,E79/Workload!E44,0),"SLO 不可達")</f>
        <v>21.9052471219721</v>
      </c>
      <c r="F82" s="108" t="n">
        <f aca="false">IF(ISNUMBER(Workload!F44),IF(Workload!F44&gt;0,F79/Workload!F44,0),"SLO 不可達")</f>
        <v>21.9052471219721</v>
      </c>
      <c r="G82" s="108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61" t="s">
        <v>1858</v>
      </c>
      <c r="B83" s="61" t="s">
        <v>103</v>
      </c>
      <c r="C83" s="108" t="n">
        <f aca="false">IF(ISNUMBER(Workload!C45),IF(Workload!C45&gt;0,C80/Workload!C45,0),"SLO 不可達")</f>
        <v>21.0128609907787</v>
      </c>
      <c r="D83" s="108" t="n">
        <f aca="false">IF(ISNUMBER(Workload!D45),IF(Workload!D45&gt;0,D80/Workload!D45,0),"SLO 不可達")</f>
        <v>15.097373821651</v>
      </c>
      <c r="E83" s="108" t="n">
        <f aca="false">IF(ISNUMBER(Workload!E45),IF(Workload!E45&gt;0,E80/Workload!E45,0),"SLO 不可達")</f>
        <v>22.124011083883</v>
      </c>
      <c r="F83" s="108" t="n">
        <f aca="false">IF(ISNUMBER(Workload!F45),IF(Workload!F45&gt;0,F80/Workload!F45,0),"SLO 不可達")</f>
        <v>22.124011083883</v>
      </c>
      <c r="G83" s="108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61" t="s">
        <v>1859</v>
      </c>
      <c r="B84" s="61" t="s">
        <v>103</v>
      </c>
      <c r="C84" s="108" t="n">
        <f aca="false">IF(ISNUMBER(Workload!C46),IF(Workload!C46&gt;0,C78/Workload!C46,0),"SLO 不可達")</f>
        <v>2.52866073616673</v>
      </c>
      <c r="D84" s="108" t="n">
        <f aca="false">IF(ISNUMBER(Workload!D46),IF(Workload!D46&gt;0,D78/Workload!D46,0),"SLO 不可達")</f>
        <v>1.86275229282185</v>
      </c>
      <c r="E84" s="108" t="n">
        <f aca="false">IF(ISNUMBER(Workload!E46),IF(Workload!E46&gt;0,E78/Workload!E46,0),"SLO 不可達")</f>
        <v>2.67022307447932</v>
      </c>
      <c r="F84" s="108" t="n">
        <f aca="false">IF(ISNUMBER(Workload!F46),IF(Workload!F46&gt;0,F78/Workload!F46,0),"SLO 不可達")</f>
        <v>2.67022307447932</v>
      </c>
      <c r="G84" s="108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61" t="s">
        <v>1860</v>
      </c>
      <c r="B85" s="61" t="s">
        <v>103</v>
      </c>
      <c r="C85" s="108" t="n">
        <f aca="false">IF(ISNUMBER(Workload!C47),IF(Workload!C47&gt;0,C79/Workload!C47,0),"SLO 不可達")</f>
        <v>14.5296497731241</v>
      </c>
      <c r="D85" s="108" t="n">
        <f aca="false">IF(ISNUMBER(Workload!D47),IF(Workload!D47&gt;0,D79/Workload!D47,0),"SLO 不可達")</f>
        <v>10.6983988149687</v>
      </c>
      <c r="E85" s="108" t="n">
        <f aca="false">IF(ISNUMBER(Workload!E47),IF(Workload!E47&gt;0,E79/Workload!E47,0),"SLO 不可達")</f>
        <v>15.3493830823439</v>
      </c>
      <c r="F85" s="108" t="n">
        <f aca="false">IF(ISNUMBER(Workload!F47),IF(Workload!F47&gt;0,F79/Workload!F47,0),"SLO 不可達")</f>
        <v>15.3493830823439</v>
      </c>
      <c r="G85" s="108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61" t="s">
        <v>1861</v>
      </c>
      <c r="B86" s="61" t="s">
        <v>103</v>
      </c>
      <c r="C86" s="108" t="n">
        <f aca="false">IF(ISNUMBER(Workload!C48),IF(Workload!C48&gt;0,C80/Workload!C48,0),"SLO 不可達")</f>
        <v>10.6470317371208</v>
      </c>
      <c r="D86" s="108" t="n">
        <f aca="false">IF(ISNUMBER(Workload!D48),IF(Workload!D48&gt;0,D80/Workload!D48,0),"SLO 不可達")</f>
        <v>7.41617143089069</v>
      </c>
      <c r="E86" s="108" t="n">
        <f aca="false">IF(ISNUMBER(Workload!E48),IF(Workload!E48&gt;0,E80/Workload!E48,0),"SLO 不可達")</f>
        <v>11.2104441520872</v>
      </c>
      <c r="F86" s="108" t="n">
        <f aca="false">IF(ISNUMBER(Workload!F48),IF(Workload!F48&gt;0,F80/Workload!F48,0),"SLO 不可達")</f>
        <v>11.2104441520872</v>
      </c>
      <c r="G86" s="108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3" t="s">
        <v>1862</v>
      </c>
    </row>
    <row r="89" customFormat="false" ht="15" hidden="false" customHeight="false" outlineLevel="0" collapsed="false">
      <c r="A89" s="75" t="s">
        <v>1863</v>
      </c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</row>
    <row r="90" customFormat="false" ht="15" hidden="false" customHeight="false" outlineLevel="0" collapsed="false">
      <c r="A90" s="60" t="s">
        <v>1864</v>
      </c>
      <c r="B90" s="61" t="s">
        <v>1814</v>
      </c>
      <c r="C90" s="74" t="n">
        <f aca="false">INDEX(IFW_RevGW_Luna_Life,1,1)</f>
        <v>2.08411383671757</v>
      </c>
      <c r="D90" s="74" t="n">
        <f aca="false">INDEX(IFW_RevGW_Luna_Life,1,2)</f>
        <v>2.08411383671757</v>
      </c>
      <c r="E90" s="74" t="n">
        <f aca="false">INDEX(IFW_RevGW_Luna_Life,1,3)</f>
        <v>2.08411383671757</v>
      </c>
      <c r="F90" s="74" t="n">
        <f aca="false">INDEX(IFW_RevGW_Luna_Life,1,4)</f>
        <v>13.6555857459493</v>
      </c>
      <c r="G90" s="74" t="n">
        <f aca="false">INDEX(IFW_RevGW_Luna_Life,1,5)</f>
        <v>13.6555857459493</v>
      </c>
      <c r="H90" s="74" t="n">
        <f aca="false">INDEX(IFW_RevGW_Luna_Life,1,6)</f>
        <v>13.6555857459493</v>
      </c>
      <c r="I90" s="74" t="n">
        <f aca="false">INDEX(IFW_RevGW_Luna_Life,1,7)</f>
        <v>19.8808398591479</v>
      </c>
      <c r="J90" s="74" t="n">
        <f aca="false">INDEX(IFW_RevGW_Luna_Life,1,8)</f>
        <v>19.8808398591479</v>
      </c>
      <c r="K90" s="74" t="n">
        <f aca="false">INDEX(IFW_RevGW_Luna_Life,1,9)</f>
        <v>19.8808398591479</v>
      </c>
      <c r="L90" s="74" t="n">
        <f aca="false">INDEX(IFW_RevGW_Luna_Life,1,10)</f>
        <v>29.3255549100997</v>
      </c>
      <c r="M90" s="74" t="n">
        <f aca="false">INDEX(IFW_RevGW_Luna_Life,1,11)</f>
        <v>29.3255549100997</v>
      </c>
      <c r="N90" s="74" t="n">
        <f aca="false">INDEX(IFW_RevGW_Luna_Life,1,12)</f>
        <v>29.3255549100997</v>
      </c>
      <c r="O90" s="74" t="n">
        <f aca="false">INDEX(IFW_RevGW_Luna_Life,1,13)</f>
        <v>39.6992397829504</v>
      </c>
      <c r="P90" s="74" t="n">
        <f aca="false">INDEX(IFW_RevGW_Luna_Life,1,14)</f>
        <v>39.6992397829504</v>
      </c>
      <c r="Q90" s="74" t="n">
        <f aca="false">INDEX(IFW_RevGW_Luna_Life,1,15)</f>
        <v>39.6992397829504</v>
      </c>
    </row>
    <row r="91" customFormat="false" ht="15" hidden="false" customHeight="false" outlineLevel="0" collapsed="false">
      <c r="A91" s="60" t="s">
        <v>1865</v>
      </c>
      <c r="B91" s="61" t="s">
        <v>1814</v>
      </c>
      <c r="C91" s="74" t="n">
        <f aca="false">INDEX(IFW_RevGW_Sol_Life,1,1)</f>
        <v>12.9469345365415</v>
      </c>
      <c r="D91" s="74" t="n">
        <f aca="false">INDEX(IFW_RevGW_Sol_Life,1,2)</f>
        <v>12.9469345365415</v>
      </c>
      <c r="E91" s="74" t="n">
        <f aca="false">INDEX(IFW_RevGW_Sol_Life,1,3)</f>
        <v>12.9469345365415</v>
      </c>
      <c r="F91" s="74" t="n">
        <f aca="false">INDEX(IFW_RevGW_Sol_Life,1,4)</f>
        <v>80.1519532436076</v>
      </c>
      <c r="G91" s="74" t="n">
        <f aca="false">INDEX(IFW_RevGW_Sol_Life,1,5)</f>
        <v>80.1519532436076</v>
      </c>
      <c r="H91" s="74" t="n">
        <f aca="false">INDEX(IFW_RevGW_Sol_Life,1,6)</f>
        <v>80.1519532436076</v>
      </c>
      <c r="I91" s="74" t="n">
        <f aca="false">INDEX(IFW_RevGW_Sol_Life,1,7)</f>
        <v>116.69130687468</v>
      </c>
      <c r="J91" s="74" t="n">
        <f aca="false">INDEX(IFW_RevGW_Sol_Life,1,8)</f>
        <v>116.69130687468</v>
      </c>
      <c r="K91" s="74" t="n">
        <f aca="false">INDEX(IFW_RevGW_Sol_Life,1,9)</f>
        <v>116.69130687468</v>
      </c>
      <c r="L91" s="74" t="n">
        <f aca="false">INDEX(IFW_RevGW_Sol_Life,1,10)</f>
        <v>184.79597204631</v>
      </c>
      <c r="M91" s="74" t="n">
        <f aca="false">INDEX(IFW_RevGW_Sol_Life,1,11)</f>
        <v>184.79597204631</v>
      </c>
      <c r="N91" s="74" t="n">
        <f aca="false">INDEX(IFW_RevGW_Sol_Life,1,12)</f>
        <v>184.79597204631</v>
      </c>
      <c r="O91" s="74" t="n">
        <f aca="false">INDEX(IFW_RevGW_Sol_Life,1,13)</f>
        <v>254.725350558298</v>
      </c>
      <c r="P91" s="74" t="n">
        <f aca="false">INDEX(IFW_RevGW_Sol_Life,1,14)</f>
        <v>254.725350558298</v>
      </c>
      <c r="Q91" s="74" t="n">
        <f aca="false">INDEX(IFW_RevGW_Sol_Life,1,15)</f>
        <v>254.725350558298</v>
      </c>
    </row>
    <row r="92" customFormat="false" ht="15" hidden="false" customHeight="false" outlineLevel="0" collapsed="false">
      <c r="A92" s="60" t="s">
        <v>1866</v>
      </c>
      <c r="B92" s="61" t="s">
        <v>1814</v>
      </c>
      <c r="C92" s="74" t="str">
        <f aca="false">INDEX(IFW_RevGW_Astra_Life,1,1)</f>
        <v>TTFT 不可達</v>
      </c>
      <c r="D92" s="74" t="str">
        <f aca="false">INDEX(IFW_RevGW_Astra_Life,1,2)</f>
        <v>TTFT 不可達</v>
      </c>
      <c r="E92" s="74" t="str">
        <f aca="false">INDEX(IFW_RevGW_Astra_Life,1,3)</f>
        <v>TTFT 不可達</v>
      </c>
      <c r="F92" s="74" t="n">
        <f aca="false">INDEX(IFW_RevGW_Astra_Life,1,4)</f>
        <v>70.8060260045462</v>
      </c>
      <c r="G92" s="74" t="n">
        <f aca="false">INDEX(IFW_RevGW_Astra_Life,1,5)</f>
        <v>70.8060260045462</v>
      </c>
      <c r="H92" s="74" t="n">
        <f aca="false">INDEX(IFW_RevGW_Astra_Life,1,6)</f>
        <v>70.8060260045462</v>
      </c>
      <c r="I92" s="74" t="n">
        <f aca="false">INDEX(IFW_RevGW_Astra_Life,1,7)</f>
        <v>81.6810591163036</v>
      </c>
      <c r="J92" s="74" t="n">
        <f aca="false">INDEX(IFW_RevGW_Astra_Life,1,8)</f>
        <v>81.6810591163036</v>
      </c>
      <c r="K92" s="74" t="n">
        <f aca="false">INDEX(IFW_RevGW_Astra_Life,1,9)</f>
        <v>81.6810591163036</v>
      </c>
      <c r="L92" s="74" t="n">
        <f aca="false">INDEX(IFW_RevGW_Astra_Life,1,10)</f>
        <v>188.934678809326</v>
      </c>
      <c r="M92" s="74" t="n">
        <f aca="false">INDEX(IFW_RevGW_Astra_Life,1,11)</f>
        <v>188.934678809326</v>
      </c>
      <c r="N92" s="74" t="n">
        <f aca="false">INDEX(IFW_RevGW_Astra_Life,1,12)</f>
        <v>188.934678809326</v>
      </c>
      <c r="O92" s="74" t="n">
        <f aca="false">INDEX(IFW_RevGW_Astra_Life,1,13)</f>
        <v>278.482692813541</v>
      </c>
      <c r="P92" s="74" t="n">
        <f aca="false">INDEX(IFW_RevGW_Astra_Life,1,14)</f>
        <v>278.482692813541</v>
      </c>
      <c r="Q92" s="74" t="n">
        <f aca="false">INDEX(IFW_RevGW_Astra_Life,1,15)</f>
        <v>278.482692813541</v>
      </c>
    </row>
    <row r="93" customFormat="false" ht="15" hidden="false" customHeight="false" outlineLevel="0" collapsed="false">
      <c r="A93" s="60" t="s">
        <v>1867</v>
      </c>
      <c r="B93" s="61" t="s">
        <v>1814</v>
      </c>
      <c r="C93" s="74" t="n">
        <f aca="false">INDEX(IFW_RevGWFleet_Life,1,1)</f>
        <v>2.34609687931515</v>
      </c>
      <c r="D93" s="74" t="n">
        <f aca="false">INDEX(IFW_RevGWFleet_Life,1,2)</f>
        <v>2.34609687931515</v>
      </c>
      <c r="E93" s="74" t="n">
        <f aca="false">INDEX(IFW_RevGWFleet_Life,1,3)</f>
        <v>2.34609687931515</v>
      </c>
      <c r="F93" s="74" t="n">
        <f aca="false">INDEX(IFW_RevGWFleet_Life,1,4)</f>
        <v>15.2851605558118</v>
      </c>
      <c r="G93" s="74" t="n">
        <f aca="false">INDEX(IFW_RevGWFleet_Life,1,5)</f>
        <v>15.2851605558118</v>
      </c>
      <c r="H93" s="74" t="n">
        <f aca="false">INDEX(IFW_RevGWFleet_Life,1,6)</f>
        <v>15.2851605558118</v>
      </c>
      <c r="I93" s="74" t="n">
        <f aca="false">INDEX(IFW_RevGWFleet_Life,1,7)</f>
        <v>19.2324652424837</v>
      </c>
      <c r="J93" s="74" t="n">
        <f aca="false">INDEX(IFW_RevGWFleet_Life,1,8)</f>
        <v>19.2324652424837</v>
      </c>
      <c r="K93" s="74" t="n">
        <f aca="false">INDEX(IFW_RevGWFleet_Life,1,9)</f>
        <v>19.2324652424837</v>
      </c>
      <c r="L93" s="74" t="n">
        <f aca="false">INDEX(IFW_RevGWFleet_Life,1,10)</f>
        <v>38.1145472754025</v>
      </c>
      <c r="M93" s="74" t="n">
        <f aca="false">INDEX(IFW_RevGWFleet_Life,1,11)</f>
        <v>38.1145472754025</v>
      </c>
      <c r="N93" s="74" t="n">
        <f aca="false">INDEX(IFW_RevGWFleet_Life,1,12)</f>
        <v>38.1145472754025</v>
      </c>
      <c r="O93" s="74" t="n">
        <f aca="false">INDEX(IFW_RevGWFleet_Life,1,13)</f>
        <v>54.4181760054532</v>
      </c>
      <c r="P93" s="74" t="n">
        <f aca="false">INDEX(IFW_RevGWFleet_Life,1,14)</f>
        <v>54.4181760054532</v>
      </c>
      <c r="Q93" s="74" t="n">
        <f aca="false">INDEX(IFW_RevGWFleet_Life,1,15)</f>
        <v>54.4181760054532</v>
      </c>
    </row>
    <row r="95" customFormat="false" ht="15" hidden="false" customHeight="false" outlineLevel="0" collapsed="false">
      <c r="A95" s="59" t="s">
        <v>1868</v>
      </c>
    </row>
    <row r="96" customFormat="false" ht="15" hidden="false" customHeight="false" outlineLevel="0" collapsed="false">
      <c r="A96" s="58" t="s">
        <v>1869</v>
      </c>
      <c r="C96" s="111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11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11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11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11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11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11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11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11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11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11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11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11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11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11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8" t="s">
        <v>1870</v>
      </c>
      <c r="C97" s="111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11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11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11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11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11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11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11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11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11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11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11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11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11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11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8" t="s">
        <v>1871</v>
      </c>
      <c r="C98" s="111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11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11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11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11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11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11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11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11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11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11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11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11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11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11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8" t="s">
        <v>1872</v>
      </c>
      <c r="C99" s="111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11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11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11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11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11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11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11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11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11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11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11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11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11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11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5" t="s">
        <v>1873</v>
      </c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</row>
    <row r="102" customFormat="false" ht="15" hidden="false" customHeight="false" outlineLevel="0" collapsed="false">
      <c r="A102" s="58" t="s">
        <v>1874</v>
      </c>
      <c r="C102" s="111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11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11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11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11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11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11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11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11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11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11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11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11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11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11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8" t="s">
        <v>1875</v>
      </c>
      <c r="C103" s="111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11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11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11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11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11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11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11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11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11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11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11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11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11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11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8" t="s">
        <v>1876</v>
      </c>
      <c r="C104" s="111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11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11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11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11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11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11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11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11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11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11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11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11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11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11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8" t="s">
        <v>1877</v>
      </c>
      <c r="C105" s="111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11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11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11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11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11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11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11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11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11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11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11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11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11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11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8" t="s">
        <v>1878</v>
      </c>
      <c r="C106" s="111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11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11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11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11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11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11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11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11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11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11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11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11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11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11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8" t="s">
        <v>1879</v>
      </c>
      <c r="C107" s="111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11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11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11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11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11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11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11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11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11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11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11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11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11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11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7" t="s">
        <v>1880</v>
      </c>
    </row>
    <row r="2" customFormat="false" ht="15" hidden="false" customHeight="false" outlineLevel="0" collapsed="false">
      <c r="A2" s="73" t="s">
        <v>1881</v>
      </c>
    </row>
    <row r="4" customFormat="false" ht="29.85" hidden="false" customHeight="false" outlineLevel="0" collapsed="false">
      <c r="A4" s="83" t="s">
        <v>1882</v>
      </c>
      <c r="B4" s="83" t="s">
        <v>337</v>
      </c>
      <c r="C4" s="84" t="s">
        <v>1883</v>
      </c>
      <c r="D4" s="83" t="s">
        <v>1884</v>
      </c>
      <c r="E4" s="83" t="s">
        <v>1885</v>
      </c>
      <c r="F4" s="83" t="s">
        <v>1884</v>
      </c>
      <c r="G4" s="83" t="s">
        <v>338</v>
      </c>
    </row>
    <row r="5" customFormat="false" ht="15" hidden="false" customHeight="false" outlineLevel="0" collapsed="false">
      <c r="A5" s="60" t="s">
        <v>85</v>
      </c>
      <c r="B5" s="111" t="s">
        <v>620</v>
      </c>
      <c r="C5" s="154" t="n">
        <f aca="false">Theory_Rev!M33*D5</f>
        <v>18.7157019208829</v>
      </c>
      <c r="D5" s="76" t="n">
        <f aca="false">1</f>
        <v>1</v>
      </c>
      <c r="E5" s="164" t="n">
        <f aca="false">Theory_Rev!M73*F5</f>
        <v>3.98542534236299</v>
      </c>
      <c r="F5" s="76" t="n">
        <f aca="false">1</f>
        <v>1</v>
      </c>
      <c r="G5" s="87" t="s">
        <v>1886</v>
      </c>
    </row>
    <row r="6" customFormat="false" ht="15" hidden="false" customHeight="false" outlineLevel="0" collapsed="false">
      <c r="A6" s="60" t="s">
        <v>1887</v>
      </c>
      <c r="B6" s="65" t="n">
        <v>0.4</v>
      </c>
      <c r="C6" s="154" t="n">
        <f aca="false">Theory_Rev!M33*D6</f>
        <v>12.4771346139219</v>
      </c>
      <c r="D6" s="76" t="n">
        <f aca="false">B6/IF_Util</f>
        <v>0.666666666666667</v>
      </c>
      <c r="E6" s="164" t="n">
        <f aca="false">Theory_Rev!M73*F6</f>
        <v>2.656950228242</v>
      </c>
      <c r="F6" s="76" t="n">
        <f aca="false">B6/IF_Util</f>
        <v>0.666666666666667</v>
      </c>
      <c r="G6" s="93" t="s">
        <v>1888</v>
      </c>
    </row>
    <row r="7" customFormat="false" ht="15" hidden="false" customHeight="false" outlineLevel="0" collapsed="false">
      <c r="A7" s="60" t="s">
        <v>1889</v>
      </c>
      <c r="B7" s="65" t="n">
        <v>0.8</v>
      </c>
      <c r="C7" s="154" t="n">
        <f aca="false">Theory_Rev!M33*D7</f>
        <v>24.9542692278439</v>
      </c>
      <c r="D7" s="76" t="n">
        <f aca="false">B7/IF_Util</f>
        <v>1.33333333333333</v>
      </c>
      <c r="E7" s="164" t="n">
        <f aca="false">Theory_Rev!M73*F7</f>
        <v>5.31390045648399</v>
      </c>
      <c r="F7" s="76" t="n">
        <f aca="false">B7/IF_Util</f>
        <v>1.33333333333333</v>
      </c>
      <c r="G7" s="93"/>
    </row>
    <row r="8" customFormat="false" ht="15" hidden="false" customHeight="false" outlineLevel="0" collapsed="false">
      <c r="A8" s="60" t="s">
        <v>1890</v>
      </c>
      <c r="B8" s="65" t="n">
        <v>0.1</v>
      </c>
      <c r="C8" s="154" t="n">
        <f aca="false">Theory_Rev!M33*D8</f>
        <v>21.0551646609933</v>
      </c>
      <c r="D8" s="76" t="n">
        <f aca="false">(1-B8)/(1-B4_Disc)</f>
        <v>1.125</v>
      </c>
      <c r="E8" s="164" t="n">
        <f aca="false">Theory_Rev!M73*F8</f>
        <v>4.48360351015837</v>
      </c>
      <c r="F8" s="76" t="n">
        <f aca="false">(1-B8)/(1-B4_Disc)</f>
        <v>1.125</v>
      </c>
      <c r="G8" s="93"/>
    </row>
    <row r="9" customFormat="false" ht="15" hidden="false" customHeight="false" outlineLevel="0" collapsed="false">
      <c r="A9" s="60" t="s">
        <v>1891</v>
      </c>
      <c r="B9" s="65" t="n">
        <v>0.3</v>
      </c>
      <c r="C9" s="154" t="n">
        <f aca="false">Theory_Rev!M33*D9</f>
        <v>16.3762391807725</v>
      </c>
      <c r="D9" s="76" t="n">
        <f aca="false">(1-B9)/(1-B4_Disc)</f>
        <v>0.875</v>
      </c>
      <c r="E9" s="164" t="n">
        <f aca="false">Theory_Rev!M73*F9</f>
        <v>3.48724717456762</v>
      </c>
      <c r="F9" s="76" t="n">
        <f aca="false">(1-B9)/(1-B4_Disc)</f>
        <v>0.875</v>
      </c>
      <c r="G9" s="93"/>
    </row>
    <row r="10" customFormat="false" ht="15" hidden="false" customHeight="false" outlineLevel="0" collapsed="false">
      <c r="A10" s="60" t="s">
        <v>1892</v>
      </c>
      <c r="B10" s="65" t="n">
        <v>0.3</v>
      </c>
      <c r="C10" s="154" t="n">
        <f aca="false">Theory_Rev!M33*D10</f>
        <v>22.4422797369879</v>
      </c>
      <c r="D10" s="76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1" t="s">
        <v>620</v>
      </c>
      <c r="F10" s="61" t="s">
        <v>620</v>
      </c>
      <c r="G10" s="93" t="s">
        <v>1893</v>
      </c>
    </row>
    <row r="11" customFormat="false" ht="15" hidden="false" customHeight="false" outlineLevel="0" collapsed="false">
      <c r="A11" s="60" t="s">
        <v>1894</v>
      </c>
      <c r="B11" s="65" t="n">
        <v>0.75</v>
      </c>
      <c r="C11" s="154" t="n">
        <f aca="false">Theory_Rev!M33*D11</f>
        <v>15.7344396679989</v>
      </c>
      <c r="D11" s="76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1" t="s">
        <v>620</v>
      </c>
      <c r="F11" s="61" t="s">
        <v>620</v>
      </c>
      <c r="G11" s="93"/>
    </row>
    <row r="12" customFormat="false" ht="15" hidden="false" customHeight="false" outlineLevel="0" collapsed="false">
      <c r="A12" s="60" t="s">
        <v>1895</v>
      </c>
      <c r="B12" s="65" t="n">
        <v>0.3</v>
      </c>
      <c r="C12" s="154" t="n">
        <f aca="false">Theory_Rev!M33*D12</f>
        <v>18.7157019208829</v>
      </c>
      <c r="D12" s="76" t="n">
        <f aca="false">1</f>
        <v>1</v>
      </c>
      <c r="E12" s="164" t="n">
        <f aca="false">Theory_Rev!M73*F12</f>
        <v>2.91616488465585</v>
      </c>
      <c r="F12" s="76" t="n">
        <f aca="false">B12/B4_Serve</f>
        <v>0.731707317073171</v>
      </c>
      <c r="G12" s="93" t="s">
        <v>1896</v>
      </c>
    </row>
    <row r="13" customFormat="false" ht="15" hidden="false" customHeight="false" outlineLevel="0" collapsed="false">
      <c r="A13" s="60" t="s">
        <v>1897</v>
      </c>
      <c r="B13" s="65" t="n">
        <v>0.6</v>
      </c>
      <c r="C13" s="154" t="n">
        <f aca="false">Theory_Rev!M33*D13</f>
        <v>18.7157019208829</v>
      </c>
      <c r="D13" s="76" t="n">
        <f aca="false">1</f>
        <v>1</v>
      </c>
      <c r="E13" s="164" t="n">
        <f aca="false">Theory_Rev!M73*F13</f>
        <v>5.8323297693117</v>
      </c>
      <c r="F13" s="76" t="n">
        <f aca="false">B13/B4_Serve</f>
        <v>1.46341463414634</v>
      </c>
      <c r="G13" s="93"/>
    </row>
    <row r="14" customFormat="false" ht="15" hidden="false" customHeight="false" outlineLevel="0" collapsed="false">
      <c r="A14" s="60" t="s">
        <v>1898</v>
      </c>
      <c r="B14" s="65" t="n">
        <v>0.35</v>
      </c>
      <c r="C14" s="154" t="n">
        <f aca="false">Theory_Rev!M33*D14</f>
        <v>18.7157019208829</v>
      </c>
      <c r="D14" s="76" t="n">
        <f aca="false">1</f>
        <v>1</v>
      </c>
      <c r="E14" s="164" t="n">
        <f aca="false">Theory_Rev!M73*F14</f>
        <v>4.79727124543694</v>
      </c>
      <c r="F14" s="76" t="n">
        <f aca="false">(1-B14)/(1-B4_Free)</f>
        <v>1.2037037037037</v>
      </c>
      <c r="G14" s="93"/>
    </row>
    <row r="15" customFormat="false" ht="15" hidden="false" customHeight="false" outlineLevel="0" collapsed="false">
      <c r="A15" s="60" t="s">
        <v>1899</v>
      </c>
      <c r="B15" s="65" t="n">
        <v>0.6</v>
      </c>
      <c r="C15" s="154" t="n">
        <f aca="false">Theory_Rev!M33*D15</f>
        <v>18.7157019208829</v>
      </c>
      <c r="D15" s="76" t="n">
        <f aca="false">1</f>
        <v>1</v>
      </c>
      <c r="E15" s="164" t="n">
        <f aca="false">Theory_Rev!M73*F15</f>
        <v>2.95216692026888</v>
      </c>
      <c r="F15" s="76" t="n">
        <f aca="false">(1-B15)/(1-B4_Free)</f>
        <v>0.740740740740741</v>
      </c>
      <c r="G15" s="93"/>
    </row>
    <row r="16" customFormat="false" ht="15" hidden="false" customHeight="false" outlineLevel="0" collapsed="false">
      <c r="A16" s="60" t="s">
        <v>1900</v>
      </c>
      <c r="B16" s="111" t="s">
        <v>620</v>
      </c>
      <c r="C16" s="154" t="n">
        <f aca="false">Theory_Rev!M33*D16</f>
        <v>18.7157019208829</v>
      </c>
      <c r="D16" s="76" t="n">
        <f aca="false">INDEX(B4_FrontRef,1,2)/INDEX(B4_EffRef,1,2)</f>
        <v>1</v>
      </c>
      <c r="E16" s="61" t="s">
        <v>620</v>
      </c>
      <c r="F16" s="61" t="s">
        <v>620</v>
      </c>
      <c r="G16" s="87" t="s">
        <v>1901</v>
      </c>
    </row>
    <row r="17" customFormat="false" ht="15" hidden="false" customHeight="false" outlineLevel="0" collapsed="false">
      <c r="A17" s="61" t="s">
        <v>1902</v>
      </c>
      <c r="B17" s="66" t="n">
        <v>7</v>
      </c>
      <c r="C17" s="154" t="n">
        <f aca="false">Theory_Rev!M33*D17</f>
        <v>49.51709289467</v>
      </c>
      <c r="D17" s="97" t="n">
        <f aca="false">EXP(CST_Eps*LN(B17))/Price_Frontier!D38</f>
        <v>2.64575131106459</v>
      </c>
      <c r="E17" s="164" t="n">
        <f aca="false">Theory_Rev!M73*F17</f>
        <v>10.5444443247069</v>
      </c>
      <c r="F17" s="97" t="n">
        <f aca="false">EXP(CST_Eps*LN(B17))/Price_Frontier!D38</f>
        <v>2.64575131106459</v>
      </c>
      <c r="G17" s="87" t="s">
        <v>1903</v>
      </c>
    </row>
    <row r="18" customFormat="false" ht="26.85" hidden="false" customHeight="false" outlineLevel="0" collapsed="false">
      <c r="A18" s="61" t="s">
        <v>1904</v>
      </c>
      <c r="B18" s="80" t="n">
        <v>0.5</v>
      </c>
      <c r="G18" s="93" t="s">
        <v>1905</v>
      </c>
    </row>
    <row r="19" customFormat="false" ht="15" hidden="false" customHeight="false" outlineLevel="0" collapsed="false">
      <c r="A19" s="59" t="s">
        <v>1906</v>
      </c>
    </row>
    <row r="20" customFormat="false" ht="15" hidden="false" customHeight="false" outlineLevel="0" collapsed="false">
      <c r="A20" s="60" t="s">
        <v>1907</v>
      </c>
      <c r="B20" s="66" t="n">
        <v>6</v>
      </c>
      <c r="C20" s="165" t="n">
        <f aca="false">IF(ISNUMBER(Amortize!M22),Amortize!M22*INDEX(B4_Life,1,2)/B20,Amortize!M22)</f>
        <v>0.0140397505639323</v>
      </c>
      <c r="D20" s="97" t="n">
        <f aca="false">IF(ISNUMBER(C20),C20/Amortize!M22,C20)</f>
        <v>2</v>
      </c>
      <c r="G20" s="58" t="s">
        <v>1908</v>
      </c>
    </row>
    <row r="21" customFormat="false" ht="15" hidden="false" customHeight="false" outlineLevel="0" collapsed="false">
      <c r="A21" s="60" t="s">
        <v>1909</v>
      </c>
      <c r="B21" s="66" t="n">
        <v>24</v>
      </c>
      <c r="C21" s="165" t="n">
        <f aca="false">IF(ISNUMBER(Amortize!M22),Amortize!M22*INDEX(B4_Life,1,2)/B21,Amortize!M22)</f>
        <v>0.00350993764098307</v>
      </c>
      <c r="D21" s="97" t="n">
        <f aca="false">IF(ISNUMBER(C21),C21/Amortize!M22,C21)</f>
        <v>0.5</v>
      </c>
      <c r="G21" s="58" t="s">
        <v>1908</v>
      </c>
    </row>
    <row r="23" customFormat="false" ht="15" hidden="false" customHeight="false" outlineLevel="0" collapsed="false">
      <c r="A23" s="73" t="s">
        <v>1910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7" t="s">
        <v>1911</v>
      </c>
    </row>
    <row r="2" customFormat="false" ht="15" hidden="false" customHeight="false" outlineLevel="0" collapsed="false">
      <c r="A2" s="73" t="s">
        <v>1912</v>
      </c>
    </row>
    <row r="4" customFormat="false" ht="15" hidden="false" customHeight="false" outlineLevel="0" collapsed="false">
      <c r="A4" s="75" t="s">
        <v>1913</v>
      </c>
      <c r="B4" s="69"/>
      <c r="C4" s="69"/>
      <c r="D4" s="69"/>
      <c r="E4" s="69"/>
      <c r="F4" s="69"/>
      <c r="G4" s="69"/>
      <c r="H4" s="69"/>
      <c r="I4" s="69"/>
    </row>
    <row r="5" customFormat="false" ht="15" hidden="false" customHeight="false" outlineLevel="0" collapsed="false">
      <c r="A5" s="60" t="s">
        <v>1914</v>
      </c>
      <c r="B5" s="60" t="s">
        <v>95</v>
      </c>
      <c r="C5" s="66" t="n">
        <v>2</v>
      </c>
      <c r="H5" s="58" t="s">
        <v>92</v>
      </c>
      <c r="I5" s="73" t="s">
        <v>1915</v>
      </c>
    </row>
    <row r="6" customFormat="false" ht="15" hidden="false" customHeight="false" outlineLevel="0" collapsed="false">
      <c r="A6" s="60" t="s">
        <v>1916</v>
      </c>
      <c r="C6" s="60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0" t="s">
        <v>1917</v>
      </c>
      <c r="B7" s="61" t="s">
        <v>103</v>
      </c>
      <c r="C7" s="164" t="n">
        <f aca="false">Tech_Registry!O16*Tech_Registry!N16</f>
        <v>0</v>
      </c>
      <c r="I7" s="58" t="s">
        <v>1918</v>
      </c>
    </row>
    <row r="8" customFormat="false" ht="15" hidden="false" customHeight="false" outlineLevel="0" collapsed="false">
      <c r="A8" s="60" t="s">
        <v>1919</v>
      </c>
      <c r="B8" s="61" t="s">
        <v>99</v>
      </c>
      <c r="C8" s="65" t="n">
        <v>0.5</v>
      </c>
      <c r="H8" s="58" t="s">
        <v>92</v>
      </c>
      <c r="I8" s="58" t="s">
        <v>1920</v>
      </c>
    </row>
    <row r="9" customFormat="false" ht="15" hidden="false" customHeight="false" outlineLevel="0" collapsed="false">
      <c r="A9" s="75" t="s">
        <v>1921</v>
      </c>
      <c r="B9" s="69"/>
      <c r="C9" s="69"/>
      <c r="D9" s="69"/>
      <c r="E9" s="69"/>
      <c r="F9" s="69"/>
      <c r="G9" s="69"/>
      <c r="H9" s="69"/>
      <c r="I9" s="69"/>
    </row>
    <row r="10" customFormat="false" ht="15" hidden="false" customHeight="false" outlineLevel="0" collapsed="false">
      <c r="A10" s="59" t="s">
        <v>1922</v>
      </c>
    </row>
    <row r="11" customFormat="false" ht="30" hidden="false" customHeight="true" outlineLevel="0" collapsed="false">
      <c r="A11" s="59" t="s">
        <v>82</v>
      </c>
      <c r="B11" s="59" t="s">
        <v>83</v>
      </c>
      <c r="C11" s="166" t="str">
        <f aca="false">Workload!C4</f>
        <v>一般聊天</v>
      </c>
      <c r="D11" s="166" t="str">
        <f aca="false">Workload!D4</f>
        <v>推理聊天</v>
      </c>
      <c r="E11" s="166" t="str">
        <f aca="false">Workload!E4</f>
        <v>單代理（工具迴圈）</v>
      </c>
      <c r="F11" s="166" t="str">
        <f aca="false">Workload!F4</f>
        <v>多代理研究</v>
      </c>
      <c r="G11" s="166" t="str">
        <f aca="false">Workload!G4</f>
        <v>Coding agent（長程）</v>
      </c>
      <c r="H11" s="59" t="s">
        <v>87</v>
      </c>
      <c r="I11" s="59" t="s">
        <v>338</v>
      </c>
    </row>
    <row r="12" customFormat="false" ht="39.55" hidden="false" customHeight="false" outlineLevel="0" collapsed="false">
      <c r="A12" s="60" t="s">
        <v>1923</v>
      </c>
      <c r="B12" s="61" t="s">
        <v>103</v>
      </c>
      <c r="C12" s="78" t="n">
        <v>1</v>
      </c>
      <c r="D12" s="78" t="n">
        <v>1</v>
      </c>
      <c r="E12" s="78" t="n">
        <v>0.7</v>
      </c>
      <c r="F12" s="78" t="n">
        <v>0.7</v>
      </c>
      <c r="G12" s="78" t="n">
        <v>0.7</v>
      </c>
      <c r="H12" s="58" t="s">
        <v>100</v>
      </c>
      <c r="I12" s="93" t="s">
        <v>1924</v>
      </c>
    </row>
    <row r="13" customFormat="false" ht="15" hidden="false" customHeight="false" outlineLevel="0" collapsed="false">
      <c r="A13" s="60" t="s">
        <v>1925</v>
      </c>
      <c r="B13" s="61" t="s">
        <v>99</v>
      </c>
      <c r="C13" s="65" t="n">
        <v>0</v>
      </c>
      <c r="D13" s="65" t="n">
        <v>0</v>
      </c>
      <c r="E13" s="65" t="n">
        <v>1</v>
      </c>
      <c r="F13" s="65" t="n">
        <v>1</v>
      </c>
      <c r="G13" s="65" t="n">
        <v>1</v>
      </c>
      <c r="H13" s="58" t="s">
        <v>1926</v>
      </c>
      <c r="I13" s="87" t="s">
        <v>1927</v>
      </c>
    </row>
    <row r="14" customFormat="false" ht="15" hidden="false" customHeight="false" outlineLevel="0" collapsed="false">
      <c r="A14" s="60" t="s">
        <v>1928</v>
      </c>
      <c r="B14" s="61" t="s">
        <v>103</v>
      </c>
      <c r="C14" s="78" t="n">
        <v>1</v>
      </c>
      <c r="D14" s="78" t="n">
        <v>1</v>
      </c>
      <c r="E14" s="78" t="n">
        <v>0.8</v>
      </c>
      <c r="F14" s="78" t="n">
        <v>0.8</v>
      </c>
      <c r="G14" s="78" t="n">
        <v>0.8</v>
      </c>
      <c r="H14" s="58" t="s">
        <v>100</v>
      </c>
      <c r="I14" s="93" t="s">
        <v>1929</v>
      </c>
    </row>
    <row r="15" customFormat="false" ht="15" hidden="false" customHeight="false" outlineLevel="0" collapsed="false">
      <c r="A15" s="60" t="s">
        <v>1930</v>
      </c>
      <c r="B15" s="61" t="s">
        <v>103</v>
      </c>
      <c r="C15" s="78" t="n">
        <v>1</v>
      </c>
      <c r="D15" s="78" t="n">
        <v>1</v>
      </c>
      <c r="E15" s="78" t="n">
        <v>0.7</v>
      </c>
      <c r="F15" s="78" t="n">
        <v>0.7</v>
      </c>
      <c r="G15" s="78" t="n">
        <v>0.7</v>
      </c>
      <c r="H15" s="58" t="s">
        <v>100</v>
      </c>
      <c r="I15" s="93" t="s">
        <v>1931</v>
      </c>
    </row>
    <row r="16" customFormat="false" ht="15" hidden="false" customHeight="false" outlineLevel="0" collapsed="false">
      <c r="A16" s="60" t="s">
        <v>1932</v>
      </c>
      <c r="B16" s="60" t="s">
        <v>1933</v>
      </c>
      <c r="C16" s="65" t="n">
        <v>0</v>
      </c>
      <c r="D16" s="65" t="n">
        <v>0</v>
      </c>
      <c r="E16" s="65" t="n">
        <v>0</v>
      </c>
      <c r="F16" s="65" t="n">
        <v>0</v>
      </c>
      <c r="G16" s="65" t="n">
        <v>0</v>
      </c>
      <c r="H16" s="58" t="s">
        <v>100</v>
      </c>
      <c r="I16" s="93" t="s">
        <v>1934</v>
      </c>
    </row>
    <row r="17" customFormat="false" ht="15" hidden="false" customHeight="false" outlineLevel="0" collapsed="false">
      <c r="A17" s="60" t="s">
        <v>1935</v>
      </c>
      <c r="B17" s="60" t="s">
        <v>329</v>
      </c>
      <c r="C17" s="66" t="n">
        <v>0</v>
      </c>
      <c r="D17" s="66" t="n">
        <v>0</v>
      </c>
      <c r="E17" s="66" t="n">
        <v>0</v>
      </c>
      <c r="F17" s="66" t="n">
        <v>0</v>
      </c>
      <c r="G17" s="66" t="n">
        <v>0</v>
      </c>
      <c r="H17" s="58" t="s">
        <v>100</v>
      </c>
      <c r="I17" s="93" t="s">
        <v>1936</v>
      </c>
    </row>
    <row r="18" customFormat="false" ht="15" hidden="false" customHeight="false" outlineLevel="0" collapsed="false">
      <c r="A18" s="60" t="s">
        <v>1937</v>
      </c>
      <c r="B18" s="61" t="s">
        <v>1163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8" t="s">
        <v>104</v>
      </c>
      <c r="I18" s="87" t="s">
        <v>1938</v>
      </c>
    </row>
    <row r="19" customFormat="false" ht="26.85" hidden="false" customHeight="false" outlineLevel="0" collapsed="false">
      <c r="A19" s="60" t="s">
        <v>1939</v>
      </c>
      <c r="B19" s="61" t="s">
        <v>103</v>
      </c>
      <c r="C19" s="78" t="n">
        <v>1</v>
      </c>
      <c r="D19" s="78" t="n">
        <v>1</v>
      </c>
      <c r="E19" s="78" t="n">
        <v>1.2</v>
      </c>
      <c r="F19" s="78" t="n">
        <v>2</v>
      </c>
      <c r="G19" s="78" t="n">
        <v>2</v>
      </c>
      <c r="H19" s="58" t="s">
        <v>100</v>
      </c>
      <c r="I19" s="87" t="s">
        <v>1940</v>
      </c>
    </row>
    <row r="20" customFormat="false" ht="15" hidden="false" customHeight="false" outlineLevel="0" collapsed="false">
      <c r="A20" s="60" t="s">
        <v>1941</v>
      </c>
      <c r="B20" s="60" t="s">
        <v>1750</v>
      </c>
      <c r="C20" s="66" t="n">
        <v>1</v>
      </c>
      <c r="D20" s="66" t="n">
        <v>1</v>
      </c>
      <c r="E20" s="66" t="n">
        <v>1</v>
      </c>
      <c r="F20" s="66" t="n">
        <v>1</v>
      </c>
      <c r="G20" s="66" t="n">
        <v>1</v>
      </c>
      <c r="H20" s="58" t="s">
        <v>135</v>
      </c>
      <c r="I20" s="93" t="s">
        <v>1942</v>
      </c>
    </row>
    <row r="22" customFormat="false" ht="15" hidden="false" customHeight="false" outlineLevel="0" collapsed="false">
      <c r="A22" s="59" t="s">
        <v>1943</v>
      </c>
    </row>
    <row r="23" customFormat="false" ht="30" hidden="false" customHeight="true" outlineLevel="0" collapsed="false">
      <c r="A23" s="59" t="s">
        <v>82</v>
      </c>
      <c r="B23" s="59" t="s">
        <v>83</v>
      </c>
      <c r="C23" s="166" t="str">
        <f aca="false">Workload!C4</f>
        <v>一般聊天</v>
      </c>
      <c r="D23" s="166" t="str">
        <f aca="false">Workload!D4</f>
        <v>推理聊天</v>
      </c>
      <c r="E23" s="166" t="str">
        <f aca="false">Workload!E4</f>
        <v>單代理（工具迴圈）</v>
      </c>
      <c r="F23" s="166" t="str">
        <f aca="false">Workload!F4</f>
        <v>多代理研究</v>
      </c>
      <c r="G23" s="166" t="str">
        <f aca="false">Workload!G4</f>
        <v>Coding agent（長程）</v>
      </c>
      <c r="H23" s="59" t="s">
        <v>87</v>
      </c>
      <c r="I23" s="59" t="s">
        <v>338</v>
      </c>
    </row>
    <row r="24" customFormat="false" ht="15" hidden="false" customHeight="false" outlineLevel="0" collapsed="false">
      <c r="A24" s="60" t="s">
        <v>1923</v>
      </c>
      <c r="B24" s="61" t="s">
        <v>103</v>
      </c>
      <c r="C24" s="78" t="n">
        <v>1</v>
      </c>
      <c r="D24" s="78" t="n">
        <v>1</v>
      </c>
      <c r="E24" s="78" t="n">
        <v>1</v>
      </c>
      <c r="F24" s="78" t="n">
        <v>1</v>
      </c>
      <c r="G24" s="78" t="n">
        <v>1</v>
      </c>
      <c r="H24" s="58" t="s">
        <v>100</v>
      </c>
      <c r="I24" s="93"/>
    </row>
    <row r="25" customFormat="false" ht="15" hidden="false" customHeight="false" outlineLevel="0" collapsed="false">
      <c r="A25" s="60" t="s">
        <v>1925</v>
      </c>
      <c r="B25" s="61" t="s">
        <v>99</v>
      </c>
      <c r="C25" s="65" t="n">
        <v>0</v>
      </c>
      <c r="D25" s="65" t="n">
        <v>0</v>
      </c>
      <c r="E25" s="65" t="n">
        <v>0</v>
      </c>
      <c r="F25" s="65" t="n">
        <v>0</v>
      </c>
      <c r="G25" s="65" t="n">
        <v>0</v>
      </c>
      <c r="H25" s="58" t="s">
        <v>100</v>
      </c>
      <c r="I25" s="93"/>
    </row>
    <row r="26" customFormat="false" ht="15" hidden="false" customHeight="false" outlineLevel="0" collapsed="false">
      <c r="A26" s="60" t="s">
        <v>1928</v>
      </c>
      <c r="B26" s="61" t="s">
        <v>103</v>
      </c>
      <c r="C26" s="78" t="n">
        <v>1</v>
      </c>
      <c r="D26" s="78" t="n">
        <v>1</v>
      </c>
      <c r="E26" s="78" t="n">
        <v>1</v>
      </c>
      <c r="F26" s="78" t="n">
        <v>1</v>
      </c>
      <c r="G26" s="78" t="n">
        <v>1</v>
      </c>
      <c r="H26" s="58" t="s">
        <v>100</v>
      </c>
      <c r="I26" s="93"/>
    </row>
    <row r="27" customFormat="false" ht="15" hidden="false" customHeight="false" outlineLevel="0" collapsed="false">
      <c r="A27" s="60" t="s">
        <v>1930</v>
      </c>
      <c r="B27" s="61" t="s">
        <v>103</v>
      </c>
      <c r="C27" s="78" t="n">
        <v>1</v>
      </c>
      <c r="D27" s="78" t="n">
        <v>1</v>
      </c>
      <c r="E27" s="78" t="n">
        <v>1</v>
      </c>
      <c r="F27" s="78" t="n">
        <v>1</v>
      </c>
      <c r="G27" s="78" t="n">
        <v>1</v>
      </c>
      <c r="H27" s="58" t="s">
        <v>100</v>
      </c>
      <c r="I27" s="93"/>
    </row>
    <row r="28" customFormat="false" ht="15" hidden="false" customHeight="false" outlineLevel="0" collapsed="false">
      <c r="A28" s="60" t="s">
        <v>1932</v>
      </c>
      <c r="B28" s="60" t="s">
        <v>1933</v>
      </c>
      <c r="C28" s="65" t="n">
        <v>0</v>
      </c>
      <c r="D28" s="65" t="n">
        <v>0</v>
      </c>
      <c r="E28" s="65" t="n">
        <v>0</v>
      </c>
      <c r="F28" s="65" t="n">
        <v>0</v>
      </c>
      <c r="G28" s="65" t="n">
        <v>0</v>
      </c>
      <c r="H28" s="58" t="s">
        <v>100</v>
      </c>
      <c r="I28" s="93"/>
    </row>
    <row r="29" customFormat="false" ht="26.85" hidden="false" customHeight="false" outlineLevel="0" collapsed="false">
      <c r="A29" s="60" t="s">
        <v>1935</v>
      </c>
      <c r="B29" s="60" t="s">
        <v>329</v>
      </c>
      <c r="C29" s="66" t="n">
        <v>0</v>
      </c>
      <c r="D29" s="66" t="n">
        <v>0</v>
      </c>
      <c r="E29" s="66" t="n">
        <v>3</v>
      </c>
      <c r="F29" s="66" t="n">
        <v>0</v>
      </c>
      <c r="G29" s="66" t="n">
        <v>3</v>
      </c>
      <c r="H29" s="58" t="s">
        <v>104</v>
      </c>
      <c r="I29" s="87" t="s">
        <v>1944</v>
      </c>
    </row>
    <row r="30" customFormat="false" ht="15" hidden="false" customHeight="false" outlineLevel="0" collapsed="false">
      <c r="A30" s="60" t="s">
        <v>1937</v>
      </c>
      <c r="B30" s="61" t="s">
        <v>1163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8" t="s">
        <v>100</v>
      </c>
      <c r="I30" s="93"/>
    </row>
    <row r="31" customFormat="false" ht="15" hidden="false" customHeight="false" outlineLevel="0" collapsed="false">
      <c r="A31" s="60" t="s">
        <v>1939</v>
      </c>
      <c r="B31" s="61" t="s">
        <v>103</v>
      </c>
      <c r="C31" s="78" t="n">
        <v>1</v>
      </c>
      <c r="D31" s="78" t="n">
        <v>1</v>
      </c>
      <c r="E31" s="78" t="n">
        <v>1.2</v>
      </c>
      <c r="F31" s="78" t="n">
        <v>1.5</v>
      </c>
      <c r="G31" s="78" t="n">
        <v>1.5</v>
      </c>
      <c r="H31" s="58" t="s">
        <v>100</v>
      </c>
      <c r="I31" s="87" t="s">
        <v>1945</v>
      </c>
    </row>
    <row r="32" customFormat="false" ht="15" hidden="false" customHeight="false" outlineLevel="0" collapsed="false">
      <c r="A32" s="60" t="s">
        <v>1941</v>
      </c>
      <c r="B32" s="60" t="s">
        <v>1750</v>
      </c>
      <c r="C32" s="66" t="n">
        <v>0</v>
      </c>
      <c r="D32" s="66" t="n">
        <v>0</v>
      </c>
      <c r="E32" s="66" t="n">
        <v>0</v>
      </c>
      <c r="F32" s="66" t="n">
        <v>0</v>
      </c>
      <c r="G32" s="66" t="n">
        <v>0</v>
      </c>
      <c r="H32" s="58" t="s">
        <v>100</v>
      </c>
      <c r="I32" s="93" t="s">
        <v>1946</v>
      </c>
    </row>
    <row r="34" customFormat="false" ht="15" hidden="false" customHeight="false" outlineLevel="0" collapsed="false">
      <c r="A34" s="59" t="s">
        <v>1947</v>
      </c>
    </row>
    <row r="35" customFormat="false" ht="30" hidden="false" customHeight="true" outlineLevel="0" collapsed="false">
      <c r="A35" s="59" t="s">
        <v>82</v>
      </c>
      <c r="B35" s="59" t="s">
        <v>83</v>
      </c>
      <c r="C35" s="166" t="str">
        <f aca="false">Workload!C4</f>
        <v>一般聊天</v>
      </c>
      <c r="D35" s="166" t="str">
        <f aca="false">Workload!D4</f>
        <v>推理聊天</v>
      </c>
      <c r="E35" s="166" t="str">
        <f aca="false">Workload!E4</f>
        <v>單代理（工具迴圈）</v>
      </c>
      <c r="F35" s="166" t="str">
        <f aca="false">Workload!F4</f>
        <v>多代理研究</v>
      </c>
      <c r="G35" s="166" t="str">
        <f aca="false">Workload!G4</f>
        <v>Coding agent（長程）</v>
      </c>
    </row>
    <row r="36" customFormat="false" ht="15" hidden="false" customHeight="false" outlineLevel="0" collapsed="false">
      <c r="A36" s="60" t="s">
        <v>1923</v>
      </c>
      <c r="B36" s="61" t="s">
        <v>103</v>
      </c>
      <c r="C36" s="76" t="n">
        <f aca="false">CHOOSE(B5_Profile-1,C12,C24)</f>
        <v>1</v>
      </c>
      <c r="D36" s="76" t="n">
        <f aca="false">CHOOSE(B5_Profile-1,D12,D24)</f>
        <v>1</v>
      </c>
      <c r="E36" s="76" t="n">
        <f aca="false">CHOOSE(B5_Profile-1,E12,E24)</f>
        <v>0.7</v>
      </c>
      <c r="F36" s="76" t="n">
        <f aca="false">CHOOSE(B5_Profile-1,F12,F24)</f>
        <v>0.7</v>
      </c>
      <c r="G36" s="76" t="n">
        <f aca="false">CHOOSE(B5_Profile-1,G12,G24)</f>
        <v>0.7</v>
      </c>
    </row>
    <row r="37" customFormat="false" ht="15" hidden="false" customHeight="false" outlineLevel="0" collapsed="false">
      <c r="A37" s="60" t="s">
        <v>1925</v>
      </c>
      <c r="B37" s="61" t="s">
        <v>99</v>
      </c>
      <c r="C37" s="85" t="n">
        <f aca="false">CHOOSE(B5_Profile-1,C13,C25)</f>
        <v>0</v>
      </c>
      <c r="D37" s="85" t="n">
        <f aca="false">CHOOSE(B5_Profile-1,D13,D25)</f>
        <v>0</v>
      </c>
      <c r="E37" s="85" t="n">
        <f aca="false">CHOOSE(B5_Profile-1,E13,E25)</f>
        <v>1</v>
      </c>
      <c r="F37" s="85" t="n">
        <f aca="false">CHOOSE(B5_Profile-1,F13,F25)</f>
        <v>1</v>
      </c>
      <c r="G37" s="85" t="n">
        <f aca="false">CHOOSE(B5_Profile-1,G13,G25)</f>
        <v>1</v>
      </c>
    </row>
    <row r="38" customFormat="false" ht="15" hidden="false" customHeight="false" outlineLevel="0" collapsed="false">
      <c r="A38" s="60" t="s">
        <v>1928</v>
      </c>
      <c r="B38" s="61" t="s">
        <v>103</v>
      </c>
      <c r="C38" s="76" t="n">
        <f aca="false">CHOOSE(B5_Profile-1,C14,C26)</f>
        <v>1</v>
      </c>
      <c r="D38" s="76" t="n">
        <f aca="false">CHOOSE(B5_Profile-1,D14,D26)</f>
        <v>1</v>
      </c>
      <c r="E38" s="76" t="n">
        <f aca="false">CHOOSE(B5_Profile-1,E14,E26)</f>
        <v>0.8</v>
      </c>
      <c r="F38" s="76" t="n">
        <f aca="false">CHOOSE(B5_Profile-1,F14,F26)</f>
        <v>0.8</v>
      </c>
      <c r="G38" s="76" t="n">
        <f aca="false">CHOOSE(B5_Profile-1,G14,G26)</f>
        <v>0.8</v>
      </c>
    </row>
    <row r="39" customFormat="false" ht="15" hidden="false" customHeight="false" outlineLevel="0" collapsed="false">
      <c r="A39" s="60" t="s">
        <v>1930</v>
      </c>
      <c r="B39" s="61" t="s">
        <v>103</v>
      </c>
      <c r="C39" s="76" t="n">
        <f aca="false">CHOOSE(B5_Profile-1,C15,C27)</f>
        <v>1</v>
      </c>
      <c r="D39" s="76" t="n">
        <f aca="false">CHOOSE(B5_Profile-1,D15,D27)</f>
        <v>1</v>
      </c>
      <c r="E39" s="76" t="n">
        <f aca="false">CHOOSE(B5_Profile-1,E15,E27)</f>
        <v>0.7</v>
      </c>
      <c r="F39" s="76" t="n">
        <f aca="false">CHOOSE(B5_Profile-1,F15,F27)</f>
        <v>0.7</v>
      </c>
      <c r="G39" s="76" t="n">
        <f aca="false">CHOOSE(B5_Profile-1,G15,G27)</f>
        <v>0.7</v>
      </c>
    </row>
    <row r="40" customFormat="false" ht="15" hidden="false" customHeight="false" outlineLevel="0" collapsed="false">
      <c r="A40" s="60" t="s">
        <v>1932</v>
      </c>
      <c r="B40" s="60" t="s">
        <v>1933</v>
      </c>
      <c r="C40" s="85" t="n">
        <f aca="false">CHOOSE(B5_Profile-1,C16,C28)</f>
        <v>0</v>
      </c>
      <c r="D40" s="85" t="n">
        <f aca="false">CHOOSE(B5_Profile-1,D16,D28)</f>
        <v>0</v>
      </c>
      <c r="E40" s="85" t="n">
        <f aca="false">CHOOSE(B5_Profile-1,E16,E28)</f>
        <v>0</v>
      </c>
      <c r="F40" s="85" t="n">
        <f aca="false">CHOOSE(B5_Profile-1,F16,F28)</f>
        <v>0</v>
      </c>
      <c r="G40" s="85" t="n">
        <f aca="false">CHOOSE(B5_Profile-1,G16,G28)</f>
        <v>0</v>
      </c>
    </row>
    <row r="41" customFormat="false" ht="15" hidden="false" customHeight="false" outlineLevel="0" collapsed="false">
      <c r="A41" s="60" t="s">
        <v>1935</v>
      </c>
      <c r="B41" s="60" t="s">
        <v>329</v>
      </c>
      <c r="C41" s="111" t="n">
        <f aca="false">CHOOSE(B5_Profile-1,C17,C29)</f>
        <v>0</v>
      </c>
      <c r="D41" s="111" t="n">
        <f aca="false">CHOOSE(B5_Profile-1,D17,D29)</f>
        <v>0</v>
      </c>
      <c r="E41" s="111" t="n">
        <f aca="false">CHOOSE(B5_Profile-1,E17,E29)</f>
        <v>0</v>
      </c>
      <c r="F41" s="111" t="n">
        <f aca="false">CHOOSE(B5_Profile-1,F17,F29)</f>
        <v>0</v>
      </c>
      <c r="G41" s="111" t="n">
        <f aca="false">CHOOSE(B5_Profile-1,G17,G29)</f>
        <v>0</v>
      </c>
    </row>
    <row r="42" customFormat="false" ht="15" hidden="false" customHeight="false" outlineLevel="0" collapsed="false">
      <c r="A42" s="60" t="s">
        <v>1937</v>
      </c>
      <c r="B42" s="61" t="s">
        <v>1163</v>
      </c>
      <c r="C42" s="114" t="n">
        <f aca="false">CHOOSE(B5_Profile-1,C18,C30)</f>
        <v>0.0833333333333333</v>
      </c>
      <c r="D42" s="114" t="n">
        <f aca="false">CHOOSE(B5_Profile-1,D18,D30)</f>
        <v>0.0833333333333333</v>
      </c>
      <c r="E42" s="114" t="n">
        <f aca="false">CHOOSE(B5_Profile-1,E18,E30)</f>
        <v>0.67</v>
      </c>
      <c r="F42" s="114" t="n">
        <f aca="false">CHOOSE(B5_Profile-1,F18,F30)</f>
        <v>0.67</v>
      </c>
      <c r="G42" s="114" t="n">
        <f aca="false">CHOOSE(B5_Profile-1,G18,G30)</f>
        <v>0.67</v>
      </c>
    </row>
    <row r="43" customFormat="false" ht="15" hidden="false" customHeight="false" outlineLevel="0" collapsed="false">
      <c r="A43" s="60" t="s">
        <v>1939</v>
      </c>
      <c r="B43" s="61" t="s">
        <v>103</v>
      </c>
      <c r="C43" s="76" t="n">
        <f aca="false">CHOOSE(B5_Profile-1,C19,C31)</f>
        <v>1</v>
      </c>
      <c r="D43" s="76" t="n">
        <f aca="false">CHOOSE(B5_Profile-1,D19,D31)</f>
        <v>1</v>
      </c>
      <c r="E43" s="76" t="n">
        <f aca="false">CHOOSE(B5_Profile-1,E19,E31)</f>
        <v>1.2</v>
      </c>
      <c r="F43" s="76" t="n">
        <f aca="false">CHOOSE(B5_Profile-1,F19,F31)</f>
        <v>2</v>
      </c>
      <c r="G43" s="76" t="n">
        <f aca="false">CHOOSE(B5_Profile-1,G19,G31)</f>
        <v>2</v>
      </c>
    </row>
    <row r="44" customFormat="false" ht="15" hidden="false" customHeight="false" outlineLevel="0" collapsed="false">
      <c r="A44" s="60" t="s">
        <v>1941</v>
      </c>
      <c r="B44" s="60" t="s">
        <v>1750</v>
      </c>
      <c r="C44" s="111" t="n">
        <f aca="false">CHOOSE(B5_Profile-1,C20,C32)</f>
        <v>1</v>
      </c>
      <c r="D44" s="111" t="n">
        <f aca="false">CHOOSE(B5_Profile-1,D20,D32)</f>
        <v>1</v>
      </c>
      <c r="E44" s="111" t="n">
        <f aca="false">CHOOSE(B5_Profile-1,E20,E32)</f>
        <v>1</v>
      </c>
      <c r="F44" s="111" t="n">
        <f aca="false">CHOOSE(B5_Profile-1,F20,F32)</f>
        <v>1</v>
      </c>
      <c r="G44" s="111" t="n">
        <f aca="false">CHOOSE(B5_Profile-1,G20,G32)</f>
        <v>1</v>
      </c>
    </row>
    <row r="46" customFormat="false" ht="15" hidden="false" customHeight="false" outlineLevel="0" collapsed="false">
      <c r="A46" s="75" t="s">
        <v>1948</v>
      </c>
      <c r="B46" s="69"/>
      <c r="C46" s="69"/>
      <c r="D46" s="69"/>
      <c r="E46" s="69"/>
      <c r="F46" s="69"/>
      <c r="G46" s="69"/>
      <c r="H46" s="69"/>
      <c r="I46" s="69"/>
    </row>
    <row r="47" customFormat="false" ht="15" hidden="false" customHeight="false" outlineLevel="0" collapsed="false">
      <c r="A47" s="59" t="s">
        <v>370</v>
      </c>
      <c r="B47" s="59" t="s">
        <v>83</v>
      </c>
      <c r="C47" s="10" t="s">
        <v>262</v>
      </c>
      <c r="D47" s="10" t="s">
        <v>263</v>
      </c>
      <c r="E47" s="10" t="s">
        <v>264</v>
      </c>
      <c r="H47" s="59" t="s">
        <v>87</v>
      </c>
      <c r="I47" s="59" t="s">
        <v>338</v>
      </c>
    </row>
    <row r="48" customFormat="false" ht="26.85" hidden="false" customHeight="false" outlineLevel="0" collapsed="false">
      <c r="A48" s="61" t="s">
        <v>1949</v>
      </c>
      <c r="B48" s="61" t="s">
        <v>1163</v>
      </c>
      <c r="C48" s="77" t="n">
        <v>1.5</v>
      </c>
      <c r="D48" s="77" t="n">
        <v>8</v>
      </c>
      <c r="E48" s="77" t="n">
        <v>16</v>
      </c>
      <c r="H48" s="58" t="s">
        <v>104</v>
      </c>
      <c r="I48" s="87" t="s">
        <v>1950</v>
      </c>
    </row>
    <row r="49" customFormat="false" ht="15" hidden="false" customHeight="false" outlineLevel="0" collapsed="false">
      <c r="A49" s="61" t="s">
        <v>1951</v>
      </c>
      <c r="B49" s="61" t="s">
        <v>1163</v>
      </c>
      <c r="C49" s="77" t="n">
        <v>0.5</v>
      </c>
      <c r="D49" s="77" t="n">
        <v>4</v>
      </c>
      <c r="E49" s="77" t="n">
        <v>11</v>
      </c>
      <c r="H49" s="58" t="s">
        <v>104</v>
      </c>
      <c r="I49" s="93"/>
    </row>
    <row r="50" customFormat="false" ht="15" hidden="false" customHeight="false" outlineLevel="0" collapsed="false">
      <c r="A50" s="61" t="s">
        <v>1952</v>
      </c>
      <c r="B50" s="61" t="s">
        <v>1163</v>
      </c>
      <c r="C50" s="77" t="n">
        <v>4</v>
      </c>
      <c r="D50" s="77" t="n">
        <v>12</v>
      </c>
      <c r="E50" s="77" t="n">
        <v>40</v>
      </c>
      <c r="H50" s="58" t="s">
        <v>104</v>
      </c>
      <c r="I50" s="87" t="s">
        <v>1953</v>
      </c>
    </row>
    <row r="51" customFormat="false" ht="26.85" hidden="false" customHeight="false" outlineLevel="0" collapsed="false">
      <c r="A51" s="60" t="s">
        <v>1954</v>
      </c>
      <c r="B51" s="61" t="s">
        <v>103</v>
      </c>
      <c r="C51" s="78" t="n">
        <v>0.75</v>
      </c>
      <c r="D51" s="78" t="n">
        <v>0.65</v>
      </c>
      <c r="E51" s="78" t="n">
        <v>1</v>
      </c>
      <c r="H51" s="58" t="s">
        <v>147</v>
      </c>
      <c r="I51" s="93" t="s">
        <v>1955</v>
      </c>
    </row>
    <row r="52" customFormat="false" ht="30" hidden="false" customHeight="true" outlineLevel="0" collapsed="false">
      <c r="A52" s="59" t="s">
        <v>1956</v>
      </c>
      <c r="B52" s="59" t="s">
        <v>83</v>
      </c>
      <c r="C52" s="166" t="str">
        <f aca="false">Workload!C4</f>
        <v>一般聊天</v>
      </c>
      <c r="D52" s="166" t="str">
        <f aca="false">Workload!D4</f>
        <v>推理聊天</v>
      </c>
      <c r="E52" s="166" t="str">
        <f aca="false">Workload!E4</f>
        <v>單代理（工具迴圈）</v>
      </c>
      <c r="F52" s="166" t="str">
        <f aca="false">Workload!F4</f>
        <v>多代理研究</v>
      </c>
      <c r="G52" s="166" t="str">
        <f aca="false">Workload!G4</f>
        <v>Coding agent（長程）</v>
      </c>
    </row>
    <row r="53" customFormat="false" ht="15" hidden="false" customHeight="false" outlineLevel="0" collapsed="false">
      <c r="A53" s="60" t="s">
        <v>1957</v>
      </c>
      <c r="B53" s="61" t="s">
        <v>1163</v>
      </c>
      <c r="C53" s="78" t="n">
        <v>0.02</v>
      </c>
      <c r="D53" s="78" t="n">
        <v>0.1</v>
      </c>
      <c r="E53" s="78" t="n">
        <v>0.5</v>
      </c>
      <c r="F53" s="78" t="n">
        <v>2</v>
      </c>
      <c r="G53" s="78" t="n">
        <v>8</v>
      </c>
      <c r="H53" s="58" t="s">
        <v>100</v>
      </c>
      <c r="I53" s="73" t="s">
        <v>1958</v>
      </c>
    </row>
    <row r="54" customFormat="false" ht="15" hidden="false" customHeight="false" outlineLevel="0" collapsed="false">
      <c r="A54" s="60" t="s">
        <v>1959</v>
      </c>
      <c r="B54" s="60"/>
      <c r="C54" s="105" t="s">
        <v>1960</v>
      </c>
      <c r="D54" s="105" t="s">
        <v>1960</v>
      </c>
      <c r="E54" s="105" t="s">
        <v>1960</v>
      </c>
      <c r="F54" s="105" t="s">
        <v>1961</v>
      </c>
      <c r="G54" s="105" t="s">
        <v>1961</v>
      </c>
      <c r="I54" s="58" t="s">
        <v>1962</v>
      </c>
    </row>
    <row r="55" customFormat="false" ht="15" hidden="false" customHeight="false" outlineLevel="0" collapsed="false">
      <c r="A55" s="60" t="s">
        <v>1963</v>
      </c>
      <c r="B55" s="61" t="s">
        <v>99</v>
      </c>
      <c r="C55" s="65"/>
      <c r="D55" s="65"/>
      <c r="E55" s="65"/>
      <c r="F55" s="65"/>
      <c r="G55" s="65"/>
      <c r="I55" s="73" t="s">
        <v>1964</v>
      </c>
    </row>
    <row r="56" customFormat="false" ht="15" hidden="false" customHeight="false" outlineLevel="0" collapsed="false">
      <c r="A56" s="60" t="s">
        <v>1965</v>
      </c>
      <c r="B56" s="61" t="s">
        <v>99</v>
      </c>
      <c r="C56" s="65"/>
      <c r="D56" s="65"/>
      <c r="E56" s="65"/>
      <c r="F56" s="65"/>
      <c r="G56" s="65"/>
      <c r="I56" s="73" t="s">
        <v>1964</v>
      </c>
    </row>
    <row r="57" customFormat="false" ht="15" hidden="false" customHeight="false" outlineLevel="0" collapsed="false">
      <c r="A57" s="60" t="s">
        <v>1966</v>
      </c>
      <c r="B57" s="61" t="s">
        <v>99</v>
      </c>
      <c r="C57" s="65"/>
      <c r="D57" s="65"/>
      <c r="E57" s="65"/>
      <c r="F57" s="65"/>
      <c r="G57" s="65"/>
      <c r="I57" s="73" t="s">
        <v>1964</v>
      </c>
    </row>
    <row r="59" customFormat="false" ht="15" hidden="false" customHeight="false" outlineLevel="0" collapsed="false">
      <c r="A59" s="75" t="s">
        <v>1967</v>
      </c>
      <c r="B59" s="69"/>
      <c r="C59" s="69"/>
      <c r="D59" s="69"/>
      <c r="E59" s="69"/>
      <c r="F59" s="69"/>
      <c r="G59" s="69"/>
      <c r="H59" s="69"/>
      <c r="I59" s="69"/>
    </row>
    <row r="60" customFormat="false" ht="15" hidden="false" customHeight="false" outlineLevel="0" collapsed="false">
      <c r="A60" s="59" t="s">
        <v>82</v>
      </c>
      <c r="C60" s="59" t="s">
        <v>1150</v>
      </c>
      <c r="D60" s="59" t="s">
        <v>1151</v>
      </c>
      <c r="I60" s="59" t="s">
        <v>338</v>
      </c>
    </row>
    <row r="61" customFormat="false" ht="15" hidden="false" customHeight="false" outlineLevel="0" collapsed="false">
      <c r="A61" s="60" t="s">
        <v>1923</v>
      </c>
      <c r="C61" s="78" t="n">
        <v>0.7</v>
      </c>
      <c r="D61" s="78" t="n">
        <v>1.7</v>
      </c>
      <c r="H61" s="58" t="s">
        <v>100</v>
      </c>
      <c r="I61" s="73"/>
    </row>
    <row r="62" customFormat="false" ht="15" hidden="false" customHeight="false" outlineLevel="0" collapsed="false">
      <c r="A62" s="60" t="s">
        <v>1928</v>
      </c>
      <c r="C62" s="78" t="n">
        <v>0.6</v>
      </c>
      <c r="D62" s="78" t="n">
        <v>1</v>
      </c>
      <c r="H62" s="58" t="s">
        <v>100</v>
      </c>
      <c r="I62" s="73"/>
    </row>
    <row r="63" customFormat="false" ht="15" hidden="false" customHeight="false" outlineLevel="0" collapsed="false">
      <c r="A63" s="60" t="s">
        <v>1925</v>
      </c>
      <c r="C63" s="65" t="n">
        <v>0.5</v>
      </c>
      <c r="D63" s="65" t="n">
        <v>1</v>
      </c>
      <c r="H63" s="58" t="s">
        <v>100</v>
      </c>
      <c r="I63" s="73"/>
    </row>
    <row r="64" customFormat="false" ht="15" hidden="false" customHeight="false" outlineLevel="0" collapsed="false">
      <c r="A64" s="60" t="s">
        <v>1968</v>
      </c>
      <c r="C64" s="78" t="n">
        <v>0.5</v>
      </c>
      <c r="D64" s="78" t="n">
        <v>1</v>
      </c>
      <c r="H64" s="58" t="s">
        <v>100</v>
      </c>
      <c r="I64" s="73"/>
    </row>
    <row r="65" customFormat="false" ht="15" hidden="false" customHeight="false" outlineLevel="0" collapsed="false">
      <c r="A65" s="60" t="s">
        <v>1969</v>
      </c>
      <c r="C65" s="78" t="n">
        <v>1</v>
      </c>
      <c r="D65" s="78" t="n">
        <v>4</v>
      </c>
      <c r="H65" s="58" t="s">
        <v>100</v>
      </c>
      <c r="I65" s="58" t="s">
        <v>1970</v>
      </c>
    </row>
    <row r="66" customFormat="false" ht="15" hidden="false" customHeight="false" outlineLevel="0" collapsed="false">
      <c r="A66" s="60" t="s">
        <v>1937</v>
      </c>
      <c r="C66" s="148" t="n">
        <v>0.0833333333333333</v>
      </c>
      <c r="D66" s="148" t="n">
        <v>2</v>
      </c>
      <c r="H66" s="58" t="s">
        <v>100</v>
      </c>
      <c r="I66" s="58" t="s">
        <v>1163</v>
      </c>
    </row>
    <row r="68" customFormat="false" ht="15" hidden="false" customHeight="false" outlineLevel="0" collapsed="false">
      <c r="A68" s="75" t="s">
        <v>1971</v>
      </c>
      <c r="B68" s="69"/>
      <c r="C68" s="69"/>
      <c r="D68" s="69"/>
      <c r="E68" s="69"/>
      <c r="F68" s="69"/>
      <c r="G68" s="69"/>
      <c r="H68" s="69"/>
      <c r="I68" s="69"/>
    </row>
    <row r="69" customFormat="false" ht="15" hidden="false" customHeight="false" outlineLevel="0" collapsed="false">
      <c r="A69" s="59" t="s">
        <v>1972</v>
      </c>
      <c r="B69" s="59" t="s">
        <v>83</v>
      </c>
      <c r="C69" s="59" t="s">
        <v>1973</v>
      </c>
      <c r="D69" s="59" t="s">
        <v>1974</v>
      </c>
      <c r="E69" s="10" t="s">
        <v>1975</v>
      </c>
      <c r="H69" s="59" t="s">
        <v>87</v>
      </c>
      <c r="I69" s="59" t="s">
        <v>88</v>
      </c>
    </row>
    <row r="70" customFormat="false" ht="39.55" hidden="false" customHeight="false" outlineLevel="0" collapsed="false">
      <c r="A70" s="6" t="s">
        <v>1976</v>
      </c>
      <c r="C70" s="109" t="n">
        <f aca="false">SRC_HAR_003</f>
        <v>0.627</v>
      </c>
      <c r="D70" s="62" t="n">
        <f aca="false">SRC_HAR_004</f>
        <v>26098</v>
      </c>
      <c r="H70" s="87" t="s">
        <v>1977</v>
      </c>
      <c r="I70" s="87" t="s">
        <v>1978</v>
      </c>
    </row>
    <row r="71" customFormat="false" ht="29.85" hidden="false" customHeight="false" outlineLevel="0" collapsed="false">
      <c r="A71" s="6" t="s">
        <v>1979</v>
      </c>
      <c r="C71" s="109" t="n">
        <f aca="false">SRC_HAR_005</f>
        <v>0.986</v>
      </c>
      <c r="D71" s="62" t="n">
        <f aca="false">SRC_HAR_006</f>
        <v>17332</v>
      </c>
      <c r="H71" s="87" t="s">
        <v>1980</v>
      </c>
      <c r="I71" s="87" t="s">
        <v>1978</v>
      </c>
    </row>
    <row r="72" customFormat="false" ht="29.85" hidden="false" customHeight="false" outlineLevel="0" collapsed="false">
      <c r="A72" s="6" t="s">
        <v>1981</v>
      </c>
      <c r="C72" s="109" t="n">
        <f aca="false">SRC_HAR_007</f>
        <v>0.999</v>
      </c>
      <c r="D72" s="62" t="n">
        <f aca="false">SRC_HAR_008</f>
        <v>18817</v>
      </c>
      <c r="E72" s="97" t="n">
        <f aca="false">SRC_HAR_010</f>
        <v>0.51</v>
      </c>
      <c r="H72" s="87" t="s">
        <v>1980</v>
      </c>
      <c r="I72" s="87" t="s">
        <v>1982</v>
      </c>
    </row>
    <row r="73" customFormat="false" ht="26.85" hidden="false" customHeight="false" outlineLevel="0" collapsed="false">
      <c r="A73" s="6" t="s">
        <v>1983</v>
      </c>
      <c r="C73" s="109" t="n">
        <f aca="false">SRC_HAR_012</f>
        <v>0.302</v>
      </c>
      <c r="H73" s="87" t="s">
        <v>1980</v>
      </c>
      <c r="I73" s="87" t="s">
        <v>1978</v>
      </c>
    </row>
    <row r="74" customFormat="false" ht="24.6" hidden="false" customHeight="false" outlineLevel="0" collapsed="false">
      <c r="A74" s="6" t="s">
        <v>1984</v>
      </c>
      <c r="C74" s="109" t="n">
        <f aca="false">SRC_HAR_015</f>
        <v>1</v>
      </c>
      <c r="H74" s="87" t="s">
        <v>1985</v>
      </c>
      <c r="I74" s="87" t="s">
        <v>1986</v>
      </c>
    </row>
    <row r="75" customFormat="false" ht="26.85" hidden="false" customHeight="false" outlineLevel="0" collapsed="false">
      <c r="A75" s="6" t="s">
        <v>1987</v>
      </c>
      <c r="E75" s="97" t="n">
        <f aca="false">SRC_HAR_002/SRC_HAR_001</f>
        <v>3.75</v>
      </c>
      <c r="H75" s="87" t="s">
        <v>1988</v>
      </c>
      <c r="I75" s="87" t="s">
        <v>1989</v>
      </c>
    </row>
    <row r="76" customFormat="false" ht="15" hidden="false" customHeight="false" outlineLevel="0" collapsed="false">
      <c r="A76" s="10" t="s">
        <v>1990</v>
      </c>
      <c r="B76" s="59"/>
      <c r="C76" s="10" t="s">
        <v>1991</v>
      </c>
      <c r="D76" s="10" t="s">
        <v>1992</v>
      </c>
      <c r="E76" s="59" t="s">
        <v>1993</v>
      </c>
      <c r="F76" s="59" t="s">
        <v>1994</v>
      </c>
      <c r="H76" s="59" t="s">
        <v>87</v>
      </c>
      <c r="I76" s="59" t="s">
        <v>463</v>
      </c>
    </row>
    <row r="77" customFormat="false" ht="15" hidden="false" customHeight="false" outlineLevel="0" collapsed="false">
      <c r="A77" s="61" t="s">
        <v>1995</v>
      </c>
      <c r="C77" s="97" t="n">
        <f aca="false">SRC_CAP_012</f>
        <v>3.5667</v>
      </c>
      <c r="D77" s="97" t="n">
        <f aca="false">SRC_CAP_013</f>
        <v>0.5333</v>
      </c>
      <c r="E77" s="86" t="n">
        <f aca="false">C77/D77</f>
        <v>6.68798049878117</v>
      </c>
      <c r="F77" s="76" t="n">
        <f aca="false">LN(4)/LN(E77)</f>
        <v>0.729508833472708</v>
      </c>
      <c r="H77" s="58" t="s">
        <v>1996</v>
      </c>
      <c r="I77" s="58" t="s">
        <v>1997</v>
      </c>
    </row>
    <row r="78" customFormat="false" ht="15" hidden="false" customHeight="false" outlineLevel="0" collapsed="false">
      <c r="A78" s="61" t="s">
        <v>1998</v>
      </c>
      <c r="C78" s="97" t="n">
        <f aca="false">SRC_CAP_014</f>
        <v>6.5667</v>
      </c>
      <c r="D78" s="97" t="n">
        <f aca="false">SRC_CAP_015</f>
        <v>0.9167</v>
      </c>
      <c r="E78" s="86" t="n">
        <f aca="false">C78/D78</f>
        <v>7.16341223955493</v>
      </c>
      <c r="F78" s="76" t="n">
        <f aca="false">LN(4)/LN(E78)</f>
        <v>0.704064962010379</v>
      </c>
      <c r="H78" s="58" t="s">
        <v>1996</v>
      </c>
      <c r="I78" s="58" t="s">
        <v>1997</v>
      </c>
    </row>
    <row r="79" customFormat="false" ht="15" hidden="false" customHeight="false" outlineLevel="0" collapsed="false">
      <c r="A79" s="61" t="s">
        <v>1999</v>
      </c>
      <c r="C79" s="97" t="n">
        <f aca="false">SRC_CAP_016</f>
        <v>5.7</v>
      </c>
      <c r="D79" s="97" t="n">
        <f aca="false">SRC_CAP_017</f>
        <v>0.9</v>
      </c>
      <c r="E79" s="86" t="n">
        <f aca="false">C79/D79</f>
        <v>6.33333333333333</v>
      </c>
      <c r="F79" s="76" t="n">
        <f aca="false">LN(4)/LN(E79)</f>
        <v>0.751042537338987</v>
      </c>
      <c r="H79" s="58" t="s">
        <v>1996</v>
      </c>
      <c r="I79" s="58" t="s">
        <v>1997</v>
      </c>
    </row>
    <row r="80" customFormat="false" ht="15" hidden="false" customHeight="false" outlineLevel="0" collapsed="false">
      <c r="A80" s="61" t="s">
        <v>2000</v>
      </c>
      <c r="C80" s="97" t="n">
        <f aca="false">SRC_CAP_018</f>
        <v>5.8333</v>
      </c>
      <c r="D80" s="97" t="n">
        <f aca="false">SRC_CAP_019</f>
        <v>1.5</v>
      </c>
      <c r="E80" s="86" t="n">
        <f aca="false">C80/D80</f>
        <v>3.88886666666667</v>
      </c>
      <c r="F80" s="76" t="n">
        <f aca="false">LN(4)/LN(E80)</f>
        <v>1.02074679522957</v>
      </c>
      <c r="H80" s="58" t="s">
        <v>1996</v>
      </c>
      <c r="I80" s="58" t="s">
        <v>1997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7" t="s">
        <v>2001</v>
      </c>
    </row>
    <row r="2" customFormat="false" ht="15" hidden="false" customHeight="false" outlineLevel="0" collapsed="false">
      <c r="A2" s="73" t="s">
        <v>2002</v>
      </c>
    </row>
    <row r="4" customFormat="false" ht="30" hidden="false" customHeight="true" outlineLevel="0" collapsed="false">
      <c r="A4" s="59" t="s">
        <v>370</v>
      </c>
      <c r="B4" s="59" t="s">
        <v>83</v>
      </c>
      <c r="C4" s="166" t="str">
        <f aca="false">Workload!C4</f>
        <v>一般聊天</v>
      </c>
      <c r="D4" s="166" t="str">
        <f aca="false">Workload!D4</f>
        <v>推理聊天</v>
      </c>
      <c r="E4" s="166" t="str">
        <f aca="false">Workload!E4</f>
        <v>單代理（工具迴圈）</v>
      </c>
      <c r="F4" s="166" t="str">
        <f aca="false">Workload!F4</f>
        <v>多代理研究</v>
      </c>
      <c r="G4" s="166" t="str">
        <f aca="false">Workload!G4</f>
        <v>Coding agent（長程）</v>
      </c>
    </row>
    <row r="5" customFormat="false" ht="15" hidden="false" customHeight="false" outlineLevel="0" collapsed="false">
      <c r="A5" s="75" t="s">
        <v>2003</v>
      </c>
      <c r="B5" s="69"/>
      <c r="C5" s="69"/>
      <c r="D5" s="69"/>
      <c r="E5" s="69"/>
      <c r="F5" s="69"/>
      <c r="G5" s="69"/>
      <c r="H5" s="69"/>
    </row>
    <row r="6" customFormat="false" ht="15" hidden="false" customHeight="false" outlineLevel="0" collapsed="false">
      <c r="A6" s="59" t="s">
        <v>2004</v>
      </c>
    </row>
    <row r="7" customFormat="false" ht="15" hidden="false" customHeight="false" outlineLevel="0" collapsed="false">
      <c r="A7" s="5" t="s">
        <v>390</v>
      </c>
      <c r="B7" s="60" t="s">
        <v>391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2005</v>
      </c>
      <c r="B8" s="61" t="s">
        <v>292</v>
      </c>
      <c r="C8" s="62" t="n">
        <f aca="false">Workload!C8</f>
        <v>0</v>
      </c>
      <c r="D8" s="62" t="n">
        <f aca="false">Workload!D8</f>
        <v>3000</v>
      </c>
      <c r="E8" s="62" t="n">
        <f aca="false">Workload!E8</f>
        <v>400</v>
      </c>
      <c r="F8" s="62" t="n">
        <f aca="false">Workload!F8</f>
        <v>400</v>
      </c>
      <c r="G8" s="62" t="n">
        <f aca="false">Workload!G8</f>
        <v>600</v>
      </c>
    </row>
    <row r="9" customFormat="false" ht="15" hidden="false" customHeight="false" outlineLevel="0" collapsed="false">
      <c r="A9" s="5" t="s">
        <v>1925</v>
      </c>
      <c r="B9" s="61" t="s">
        <v>99</v>
      </c>
      <c r="C9" s="64" t="n">
        <f aca="false">Workload!C10</f>
        <v>0</v>
      </c>
      <c r="D9" s="64" t="n">
        <f aca="false">Workload!D10</f>
        <v>0</v>
      </c>
      <c r="E9" s="64" t="n">
        <f aca="false">Workload!E10</f>
        <v>0</v>
      </c>
      <c r="F9" s="64" t="n">
        <f aca="false">Workload!F10</f>
        <v>0</v>
      </c>
      <c r="G9" s="64" t="n">
        <f aca="false">Workload!G10</f>
        <v>0</v>
      </c>
    </row>
    <row r="10" customFormat="false" ht="15" hidden="false" customHeight="false" outlineLevel="0" collapsed="false">
      <c r="A10" s="5" t="s">
        <v>2006</v>
      </c>
      <c r="B10" s="61" t="s">
        <v>99</v>
      </c>
      <c r="C10" s="64" t="n">
        <f aca="false">Workload!C11</f>
        <v>0.5</v>
      </c>
      <c r="D10" s="64" t="n">
        <f aca="false">Workload!D11</f>
        <v>0.5</v>
      </c>
      <c r="E10" s="64" t="n">
        <f aca="false">Workload!E11</f>
        <v>0.9</v>
      </c>
      <c r="F10" s="64" t="n">
        <f aca="false">Workload!F11</f>
        <v>0.9</v>
      </c>
      <c r="G10" s="64" t="n">
        <f aca="false">Workload!G11</f>
        <v>0.9</v>
      </c>
    </row>
    <row r="11" customFormat="false" ht="15" hidden="false" customHeight="false" outlineLevel="0" collapsed="false">
      <c r="A11" s="5" t="s">
        <v>2007</v>
      </c>
      <c r="B11" s="60" t="s">
        <v>329</v>
      </c>
      <c r="C11" s="108" t="n">
        <f aca="false">Workload!C12</f>
        <v>0</v>
      </c>
      <c r="D11" s="108" t="n">
        <f aca="false">Workload!D12</f>
        <v>0</v>
      </c>
      <c r="E11" s="108" t="n">
        <f aca="false">Workload!E12</f>
        <v>0</v>
      </c>
      <c r="F11" s="108" t="n">
        <f aca="false">Workload!F12</f>
        <v>3</v>
      </c>
      <c r="G11" s="108" t="n">
        <f aca="false">Workload!G12</f>
        <v>0</v>
      </c>
    </row>
    <row r="12" customFormat="false" ht="15" hidden="false" customHeight="false" outlineLevel="0" collapsed="false">
      <c r="A12" s="5" t="s">
        <v>1968</v>
      </c>
      <c r="B12" s="61" t="s">
        <v>103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417</v>
      </c>
      <c r="B13" s="61" t="s">
        <v>292</v>
      </c>
      <c r="C13" s="62" t="n">
        <f aca="false">Workload!C7+Workload!C9+C9*C8</f>
        <v>1000</v>
      </c>
      <c r="D13" s="62" t="n">
        <f aca="false">Workload!D7+Workload!D9+D9*D8</f>
        <v>1200</v>
      </c>
      <c r="E13" s="62" t="n">
        <f aca="false">Workload!E7+Workload!E9+E9*E8</f>
        <v>1400</v>
      </c>
      <c r="F13" s="62" t="n">
        <f aca="false">Workload!F7+Workload!F9+F9*F8</f>
        <v>1400</v>
      </c>
      <c r="G13" s="62" t="n">
        <f aca="false">Workload!G7+Workload!G9+G9*G8</f>
        <v>2400</v>
      </c>
    </row>
    <row r="14" customFormat="false" ht="15" hidden="false" customHeight="false" outlineLevel="0" collapsed="false">
      <c r="A14" s="5" t="s">
        <v>418</v>
      </c>
      <c r="B14" s="61" t="s">
        <v>292</v>
      </c>
      <c r="C14" s="62" t="n">
        <f aca="false">C7*(Workload!C6+Workload!C7)+C12*C13*C7*(C7-1)/2</f>
        <v>2500</v>
      </c>
      <c r="D14" s="62" t="n">
        <f aca="false">D7*(Workload!D6+Workload!D7)+D12*D13*D7*(D7-1)/2</f>
        <v>2500</v>
      </c>
      <c r="E14" s="62" t="n">
        <f aca="false">E7*(Workload!E6+Workload!E7)+E12*E13*E7*(E7-1)/2</f>
        <v>25200</v>
      </c>
      <c r="F14" s="62" t="n">
        <f aca="false">F7*(Workload!F6+Workload!F7)+F12*F13*F7*(F7-1)/2</f>
        <v>25200</v>
      </c>
      <c r="G14" s="62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2008</v>
      </c>
      <c r="B15" s="61" t="s">
        <v>292</v>
      </c>
      <c r="C15" s="62" t="n">
        <f aca="false">C10*(C7*Workload!C6+C12*C13*C7*(C7-1)/2)</f>
        <v>1000</v>
      </c>
      <c r="D15" s="62" t="n">
        <f aca="false">D10*(D7*Workload!D6+D12*D13*D7*(D7-1)/2)</f>
        <v>1000</v>
      </c>
      <c r="E15" s="62" t="n">
        <f aca="false">E10*(E7*Workload!E6+E12*E13*E7*(E7-1)/2)</f>
        <v>18360</v>
      </c>
      <c r="F15" s="62" t="n">
        <f aca="false">F10*(F7*Workload!F6+F12*F13*F7*(F7-1)/2)</f>
        <v>18360</v>
      </c>
      <c r="G15" s="62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2009</v>
      </c>
      <c r="B16" s="61" t="s">
        <v>292</v>
      </c>
      <c r="C16" s="62" t="n">
        <f aca="false">C7*(C8+Workload!C9)</f>
        <v>500</v>
      </c>
      <c r="D16" s="62" t="n">
        <f aca="false">D7*(D8+Workload!D9)</f>
        <v>3700</v>
      </c>
      <c r="E16" s="62" t="n">
        <f aca="false">E7*(E8+Workload!E9)</f>
        <v>2400</v>
      </c>
      <c r="F16" s="62" t="n">
        <f aca="false">F7*(F8+Workload!F9)</f>
        <v>2400</v>
      </c>
      <c r="G16" s="62" t="n">
        <f aca="false">G7*(G8+Workload!G9)</f>
        <v>30000</v>
      </c>
    </row>
    <row r="17" customFormat="false" ht="15" hidden="false" customHeight="false" outlineLevel="0" collapsed="false">
      <c r="A17" s="5" t="s">
        <v>2010</v>
      </c>
      <c r="B17" s="61" t="s">
        <v>103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423</v>
      </c>
      <c r="B18" s="61" t="s">
        <v>292</v>
      </c>
      <c r="C18" s="67" t="n">
        <f aca="false">(C14-C15)*C17</f>
        <v>1500</v>
      </c>
      <c r="D18" s="67" t="n">
        <f aca="false">(D14-D15)*D17</f>
        <v>1500</v>
      </c>
      <c r="E18" s="67" t="n">
        <f aca="false">(E14-E15)*E17</f>
        <v>6840</v>
      </c>
      <c r="F18" s="67" t="n">
        <f aca="false">(F14-F15)*F17</f>
        <v>27360</v>
      </c>
      <c r="G18" s="67" t="n">
        <f aca="false">(G14-G15)*G17</f>
        <v>200400</v>
      </c>
    </row>
    <row r="19" customFormat="false" ht="15" hidden="false" customHeight="false" outlineLevel="0" collapsed="false">
      <c r="A19" s="5" t="s">
        <v>424</v>
      </c>
      <c r="B19" s="61" t="s">
        <v>292</v>
      </c>
      <c r="C19" s="67" t="n">
        <f aca="false">C15*C17</f>
        <v>1000</v>
      </c>
      <c r="D19" s="67" t="n">
        <f aca="false">D15*D17</f>
        <v>1000</v>
      </c>
      <c r="E19" s="67" t="n">
        <f aca="false">E15*E17</f>
        <v>18360</v>
      </c>
      <c r="F19" s="67" t="n">
        <f aca="false">F15*F17</f>
        <v>73440</v>
      </c>
      <c r="G19" s="67" t="n">
        <f aca="false">G15*G17</f>
        <v>1263600</v>
      </c>
    </row>
    <row r="20" customFormat="false" ht="15" hidden="false" customHeight="false" outlineLevel="0" collapsed="false">
      <c r="A20" s="5" t="s">
        <v>425</v>
      </c>
      <c r="B20" s="61" t="s">
        <v>292</v>
      </c>
      <c r="C20" s="67" t="n">
        <f aca="false">C16*C17</f>
        <v>500</v>
      </c>
      <c r="D20" s="67" t="n">
        <f aca="false">D16*D17</f>
        <v>3700</v>
      </c>
      <c r="E20" s="67" t="n">
        <f aca="false">E16*E17</f>
        <v>2400</v>
      </c>
      <c r="F20" s="67" t="n">
        <f aca="false">F16*F17</f>
        <v>9600</v>
      </c>
      <c r="G20" s="67" t="n">
        <f aca="false">G16*G17</f>
        <v>30000</v>
      </c>
    </row>
    <row r="21" customFormat="false" ht="15" hidden="false" customHeight="false" outlineLevel="0" collapsed="false">
      <c r="A21" s="5" t="s">
        <v>426</v>
      </c>
      <c r="B21" s="61" t="s">
        <v>292</v>
      </c>
      <c r="C21" s="70" t="n">
        <f aca="false">C18+C19+C20</f>
        <v>3000</v>
      </c>
      <c r="D21" s="70" t="n">
        <f aca="false">D18+D19+D20</f>
        <v>6200</v>
      </c>
      <c r="E21" s="70" t="n">
        <f aca="false">E18+E19+E20</f>
        <v>27600</v>
      </c>
      <c r="F21" s="70" t="n">
        <f aca="false">F18+F19+F20</f>
        <v>110400</v>
      </c>
      <c r="G21" s="70" t="n">
        <f aca="false">G18+G19+G20</f>
        <v>1494000</v>
      </c>
    </row>
    <row r="23" customFormat="false" ht="15" hidden="false" customHeight="false" outlineLevel="0" collapsed="false">
      <c r="A23" s="59" t="s">
        <v>2011</v>
      </c>
    </row>
    <row r="24" customFormat="false" ht="15" hidden="false" customHeight="false" outlineLevel="0" collapsed="false">
      <c r="A24" s="5" t="s">
        <v>390</v>
      </c>
      <c r="B24" s="60" t="s">
        <v>391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2005</v>
      </c>
      <c r="B25" s="61" t="s">
        <v>292</v>
      </c>
      <c r="C25" s="62" t="n">
        <f aca="false">Workload!C8*INDEX(B5_SelH,1,1)</f>
        <v>0</v>
      </c>
      <c r="D25" s="62" t="n">
        <f aca="false">Workload!D8*INDEX(B5_SelH,1,2)</f>
        <v>3000</v>
      </c>
      <c r="E25" s="62" t="n">
        <f aca="false">Workload!E8*INDEX(B5_SelH,1,3)</f>
        <v>320</v>
      </c>
      <c r="F25" s="62" t="n">
        <f aca="false">Workload!F8*INDEX(B5_SelH,1,4)</f>
        <v>320</v>
      </c>
      <c r="G25" s="62" t="n">
        <f aca="false">Workload!G8*INDEX(B5_SelH,1,5)</f>
        <v>480</v>
      </c>
    </row>
    <row r="26" customFormat="false" ht="15" hidden="false" customHeight="false" outlineLevel="0" collapsed="false">
      <c r="A26" s="5" t="s">
        <v>1925</v>
      </c>
      <c r="B26" s="61" t="s">
        <v>99</v>
      </c>
      <c r="C26" s="85" t="n">
        <f aca="false">INDEX(B5_Selrho,1,1)</f>
        <v>0</v>
      </c>
      <c r="D26" s="85" t="n">
        <f aca="false">INDEX(B5_Selrho,1,2)</f>
        <v>0</v>
      </c>
      <c r="E26" s="85" t="n">
        <f aca="false">INDEX(B5_Selrho,1,3)</f>
        <v>1</v>
      </c>
      <c r="F26" s="85" t="n">
        <f aca="false">INDEX(B5_Selrho,1,4)</f>
        <v>1</v>
      </c>
      <c r="G26" s="85" t="n">
        <f aca="false">INDEX(B5_Selrho,1,5)</f>
        <v>1</v>
      </c>
    </row>
    <row r="27" customFormat="false" ht="15" hidden="false" customHeight="false" outlineLevel="0" collapsed="false">
      <c r="A27" s="5" t="s">
        <v>2006</v>
      </c>
      <c r="B27" s="61" t="s">
        <v>99</v>
      </c>
      <c r="C27" s="64" t="n">
        <f aca="false">MIN(1,MAX(0,Workload!C11+INDEX(B5_SelDChi,1,1)))</f>
        <v>0.5</v>
      </c>
      <c r="D27" s="64" t="n">
        <f aca="false">MIN(1,MAX(0,Workload!D11+INDEX(B5_SelDChi,1,2)))</f>
        <v>0.5</v>
      </c>
      <c r="E27" s="64" t="n">
        <f aca="false">MIN(1,MAX(0,Workload!E11+INDEX(B5_SelDChi,1,3)))</f>
        <v>0.9</v>
      </c>
      <c r="F27" s="64" t="n">
        <f aca="false">MIN(1,MAX(0,Workload!F11+INDEX(B5_SelDChi,1,4)))</f>
        <v>0.9</v>
      </c>
      <c r="G27" s="64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2007</v>
      </c>
      <c r="B28" s="60" t="s">
        <v>329</v>
      </c>
      <c r="C28" s="108" t="n">
        <f aca="false">Workload!C12+INDEX(B5_SelDM,1,1)</f>
        <v>0</v>
      </c>
      <c r="D28" s="108" t="n">
        <f aca="false">Workload!D12+INDEX(B5_SelDM,1,2)</f>
        <v>0</v>
      </c>
      <c r="E28" s="108" t="n">
        <f aca="false">Workload!E12+INDEX(B5_SelDM,1,3)</f>
        <v>0</v>
      </c>
      <c r="F28" s="108" t="n">
        <f aca="false">Workload!F12+INDEX(B5_SelDM,1,4)</f>
        <v>3</v>
      </c>
      <c r="G28" s="108" t="n">
        <f aca="false">Workload!G12+INDEX(B5_SelDM,1,5)</f>
        <v>0</v>
      </c>
    </row>
    <row r="29" customFormat="false" ht="15" hidden="false" customHeight="false" outlineLevel="0" collapsed="false">
      <c r="A29" s="5" t="s">
        <v>1968</v>
      </c>
      <c r="B29" s="61" t="s">
        <v>103</v>
      </c>
      <c r="C29" s="76" t="n">
        <f aca="false">INDEX(B5_SelC,1,1)</f>
        <v>1</v>
      </c>
      <c r="D29" s="76" t="n">
        <f aca="false">INDEX(B5_SelC,1,2)</f>
        <v>1</v>
      </c>
      <c r="E29" s="76" t="n">
        <f aca="false">INDEX(B5_SelC,1,3)</f>
        <v>0.7</v>
      </c>
      <c r="F29" s="76" t="n">
        <f aca="false">INDEX(B5_SelC,1,4)</f>
        <v>0.7</v>
      </c>
      <c r="G29" s="76" t="n">
        <f aca="false">INDEX(B5_SelC,1,5)</f>
        <v>0.7</v>
      </c>
    </row>
    <row r="30" customFormat="false" ht="15" hidden="false" customHeight="false" outlineLevel="0" collapsed="false">
      <c r="A30" s="5" t="s">
        <v>417</v>
      </c>
      <c r="B30" s="61" t="s">
        <v>292</v>
      </c>
      <c r="C30" s="62" t="n">
        <f aca="false">Workload!C7+Workload!C9+C26*C25</f>
        <v>1000</v>
      </c>
      <c r="D30" s="62" t="n">
        <f aca="false">Workload!D7+Workload!D9+D26*D25</f>
        <v>1200</v>
      </c>
      <c r="E30" s="62" t="n">
        <f aca="false">Workload!E7+Workload!E9+E26*E25</f>
        <v>1720</v>
      </c>
      <c r="F30" s="62" t="n">
        <f aca="false">Workload!F7+Workload!F9+F26*F25</f>
        <v>1720</v>
      </c>
      <c r="G30" s="62" t="n">
        <f aca="false">Workload!G7+Workload!G9+G26*G25</f>
        <v>2880</v>
      </c>
    </row>
    <row r="31" customFormat="false" ht="15" hidden="false" customHeight="false" outlineLevel="0" collapsed="false">
      <c r="A31" s="5" t="s">
        <v>418</v>
      </c>
      <c r="B31" s="61" t="s">
        <v>292</v>
      </c>
      <c r="C31" s="62" t="n">
        <f aca="false">C24*(Workload!C6+Workload!C7)+C29*C30*C24*(C24-1)/2</f>
        <v>2500</v>
      </c>
      <c r="D31" s="62" t="n">
        <f aca="false">D24*(Workload!D6+Workload!D7)+D29*D30*D24*(D24-1)/2</f>
        <v>2500</v>
      </c>
      <c r="E31" s="62" t="n">
        <f aca="false">E24*(Workload!E6+Workload!E7)+E29*E30*E24*(E24-1)/2</f>
        <v>14794.08</v>
      </c>
      <c r="F31" s="62" t="n">
        <f aca="false">F24*(Workload!F6+Workload!F7)+F29*F30*F24*(F24-1)/2</f>
        <v>14794.08</v>
      </c>
      <c r="G31" s="62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2008</v>
      </c>
      <c r="B32" s="61" t="s">
        <v>292</v>
      </c>
      <c r="C32" s="62" t="n">
        <f aca="false">C27*(C24*Workload!C6+C29*C30*C24*(C24-1)/2)</f>
        <v>1000</v>
      </c>
      <c r="D32" s="62" t="n">
        <f aca="false">D27*(D24*Workload!D6+D29*D30*D24*(D24-1)/2)</f>
        <v>1000</v>
      </c>
      <c r="E32" s="62" t="n">
        <f aca="false">E27*(E24*Workload!E6+E29*E30*E24*(E24-1)/2)</f>
        <v>10290.672</v>
      </c>
      <c r="F32" s="62" t="n">
        <f aca="false">F27*(F24*Workload!F6+F29*F30*F24*(F24-1)/2)</f>
        <v>10290.672</v>
      </c>
      <c r="G32" s="62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2009</v>
      </c>
      <c r="B33" s="61" t="s">
        <v>292</v>
      </c>
      <c r="C33" s="62" t="n">
        <f aca="false">C24*(C25+Workload!C9)</f>
        <v>500</v>
      </c>
      <c r="D33" s="62" t="n">
        <f aca="false">D24*(D25+Workload!D9)</f>
        <v>3700</v>
      </c>
      <c r="E33" s="62" t="n">
        <f aca="false">E24*(E25+Workload!E9)</f>
        <v>1456</v>
      </c>
      <c r="F33" s="62" t="n">
        <f aca="false">F24*(F25+Workload!F9)</f>
        <v>1456</v>
      </c>
      <c r="G33" s="62" t="n">
        <f aca="false">G24*(G25+Workload!G9)</f>
        <v>18480</v>
      </c>
    </row>
    <row r="34" customFormat="false" ht="15" hidden="false" customHeight="false" outlineLevel="0" collapsed="false">
      <c r="A34" s="5" t="s">
        <v>2010</v>
      </c>
      <c r="B34" s="61" t="s">
        <v>103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423</v>
      </c>
      <c r="B35" s="61" t="s">
        <v>292</v>
      </c>
      <c r="C35" s="67" t="n">
        <f aca="false">(C31-C32)*C34</f>
        <v>1500</v>
      </c>
      <c r="D35" s="67" t="n">
        <f aca="false">(D31-D32)*D34</f>
        <v>1500</v>
      </c>
      <c r="E35" s="67" t="n">
        <f aca="false">(E31-E32)*E34</f>
        <v>4503.408</v>
      </c>
      <c r="F35" s="67" t="n">
        <f aca="false">(F31-F32)*F34</f>
        <v>18013.632</v>
      </c>
      <c r="G35" s="67" t="n">
        <f aca="false">(G31-G32)*G34</f>
        <v>109536</v>
      </c>
    </row>
    <row r="36" customFormat="false" ht="15" hidden="false" customHeight="false" outlineLevel="0" collapsed="false">
      <c r="A36" s="5" t="s">
        <v>424</v>
      </c>
      <c r="B36" s="61" t="s">
        <v>292</v>
      </c>
      <c r="C36" s="67" t="n">
        <f aca="false">C32*C34</f>
        <v>1000</v>
      </c>
      <c r="D36" s="67" t="n">
        <f aca="false">D32*D34</f>
        <v>1000</v>
      </c>
      <c r="E36" s="67" t="n">
        <f aca="false">E32*E34</f>
        <v>10290.672</v>
      </c>
      <c r="F36" s="67" t="n">
        <f aca="false">F32*F34</f>
        <v>41162.688</v>
      </c>
      <c r="G36" s="67" t="n">
        <f aca="false">G32*G34</f>
        <v>607824</v>
      </c>
    </row>
    <row r="37" customFormat="false" ht="15" hidden="false" customHeight="false" outlineLevel="0" collapsed="false">
      <c r="A37" s="5" t="s">
        <v>425</v>
      </c>
      <c r="B37" s="61" t="s">
        <v>292</v>
      </c>
      <c r="C37" s="67" t="n">
        <f aca="false">C33*C34</f>
        <v>500</v>
      </c>
      <c r="D37" s="67" t="n">
        <f aca="false">D33*D34</f>
        <v>3700</v>
      </c>
      <c r="E37" s="67" t="n">
        <f aca="false">E33*E34</f>
        <v>1456</v>
      </c>
      <c r="F37" s="67" t="n">
        <f aca="false">F33*F34</f>
        <v>5824</v>
      </c>
      <c r="G37" s="67" t="n">
        <f aca="false">G33*G34</f>
        <v>18480</v>
      </c>
    </row>
    <row r="38" customFormat="false" ht="15" hidden="false" customHeight="false" outlineLevel="0" collapsed="false">
      <c r="A38" s="5" t="s">
        <v>426</v>
      </c>
      <c r="B38" s="61" t="s">
        <v>292</v>
      </c>
      <c r="C38" s="70" t="n">
        <f aca="false">C35+C36+C37</f>
        <v>3000</v>
      </c>
      <c r="D38" s="70" t="n">
        <f aca="false">D35+D36+D37</f>
        <v>6200</v>
      </c>
      <c r="E38" s="70" t="n">
        <f aca="false">E35+E36+E37</f>
        <v>16250.08</v>
      </c>
      <c r="F38" s="70" t="n">
        <f aca="false">F35+F36+F37</f>
        <v>65000.32</v>
      </c>
      <c r="G38" s="70" t="n">
        <f aca="false">G35+G36+G37</f>
        <v>735840</v>
      </c>
    </row>
    <row r="40" customFormat="false" ht="15" hidden="false" customHeight="false" outlineLevel="0" collapsed="false">
      <c r="A40" s="59" t="s">
        <v>2012</v>
      </c>
    </row>
    <row r="41" customFormat="false" ht="15" hidden="false" customHeight="false" outlineLevel="0" collapsed="false">
      <c r="A41" s="5" t="s">
        <v>423</v>
      </c>
      <c r="B41" s="61" t="s">
        <v>292</v>
      </c>
      <c r="C41" s="62" t="n">
        <f aca="false">Workload!C32</f>
        <v>1500</v>
      </c>
      <c r="D41" s="62" t="n">
        <f aca="false">Workload!D32</f>
        <v>1500</v>
      </c>
      <c r="E41" s="62" t="n">
        <f aca="false">Workload!E32</f>
        <v>6840</v>
      </c>
      <c r="F41" s="62" t="n">
        <f aca="false">Workload!F32</f>
        <v>27360</v>
      </c>
      <c r="G41" s="62" t="n">
        <f aca="false">Workload!G32</f>
        <v>200400</v>
      </c>
    </row>
    <row r="42" customFormat="false" ht="15" hidden="false" customHeight="false" outlineLevel="0" collapsed="false">
      <c r="A42" s="5" t="s">
        <v>424</v>
      </c>
      <c r="B42" s="61" t="s">
        <v>292</v>
      </c>
      <c r="C42" s="62" t="n">
        <f aca="false">Workload!C33</f>
        <v>1000</v>
      </c>
      <c r="D42" s="62" t="n">
        <f aca="false">Workload!D33</f>
        <v>1000</v>
      </c>
      <c r="E42" s="62" t="n">
        <f aca="false">Workload!E33</f>
        <v>18360</v>
      </c>
      <c r="F42" s="62" t="n">
        <f aca="false">Workload!F33</f>
        <v>73440</v>
      </c>
      <c r="G42" s="62" t="n">
        <f aca="false">Workload!G33</f>
        <v>1263600</v>
      </c>
    </row>
    <row r="43" customFormat="false" ht="15" hidden="false" customHeight="false" outlineLevel="0" collapsed="false">
      <c r="A43" s="5" t="s">
        <v>425</v>
      </c>
      <c r="B43" s="61" t="s">
        <v>292</v>
      </c>
      <c r="C43" s="62" t="n">
        <f aca="false">Workload!C34</f>
        <v>500</v>
      </c>
      <c r="D43" s="62" t="n">
        <f aca="false">Workload!D34</f>
        <v>3700</v>
      </c>
      <c r="E43" s="62" t="n">
        <f aca="false">Workload!E34</f>
        <v>2400</v>
      </c>
      <c r="F43" s="62" t="n">
        <f aca="false">Workload!F34</f>
        <v>9600</v>
      </c>
      <c r="G43" s="62" t="n">
        <f aca="false">Workload!G34</f>
        <v>30000</v>
      </c>
    </row>
    <row r="44" customFormat="false" ht="15" hidden="false" customHeight="false" outlineLevel="0" collapsed="false">
      <c r="A44" s="5" t="s">
        <v>426</v>
      </c>
      <c r="B44" s="61" t="s">
        <v>292</v>
      </c>
      <c r="C44" s="167" t="n">
        <f aca="false">Workload!C35</f>
        <v>3000</v>
      </c>
      <c r="D44" s="167" t="n">
        <f aca="false">Workload!D35</f>
        <v>6200</v>
      </c>
      <c r="E44" s="167" t="n">
        <f aca="false">Workload!E35</f>
        <v>27600</v>
      </c>
      <c r="F44" s="167" t="n">
        <f aca="false">Workload!F35</f>
        <v>110400</v>
      </c>
      <c r="G44" s="167" t="n">
        <f aca="false">Workload!G35</f>
        <v>1494000</v>
      </c>
    </row>
    <row r="45" customFormat="false" ht="15" hidden="false" customHeight="false" outlineLevel="0" collapsed="false">
      <c r="A45" s="5" t="s">
        <v>2013</v>
      </c>
      <c r="B45" s="61" t="s">
        <v>103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7" t="s">
        <v>2014</v>
      </c>
    </row>
    <row r="47" customFormat="false" ht="15" hidden="false" customHeight="false" outlineLevel="0" collapsed="false">
      <c r="A47" s="75" t="s">
        <v>2015</v>
      </c>
      <c r="B47" s="69"/>
      <c r="C47" s="69"/>
      <c r="D47" s="69"/>
      <c r="E47" s="69"/>
      <c r="F47" s="69"/>
      <c r="G47" s="69"/>
      <c r="H47" s="69"/>
    </row>
    <row r="48" customFormat="false" ht="15" hidden="false" customHeight="false" outlineLevel="0" collapsed="false">
      <c r="A48" s="5" t="s">
        <v>2016</v>
      </c>
      <c r="B48" s="61" t="s">
        <v>1163</v>
      </c>
      <c r="C48" s="114" t="n">
        <f aca="false">B4_Retain</f>
        <v>0.0833333333333333</v>
      </c>
      <c r="D48" s="114" t="n">
        <f aca="false">B4_Retain</f>
        <v>0.0833333333333333</v>
      </c>
      <c r="E48" s="114" t="n">
        <f aca="false">B4_Retain</f>
        <v>0.0833333333333333</v>
      </c>
      <c r="F48" s="114" t="n">
        <f aca="false">B4_Retain</f>
        <v>0.0833333333333333</v>
      </c>
      <c r="G48" s="114" t="n">
        <f aca="false">B4_Retain</f>
        <v>0.0833333333333333</v>
      </c>
    </row>
    <row r="49" customFormat="false" ht="15" hidden="false" customHeight="false" outlineLevel="0" collapsed="false">
      <c r="A49" s="5" t="s">
        <v>2017</v>
      </c>
      <c r="B49" s="61" t="s">
        <v>1163</v>
      </c>
      <c r="C49" s="114" t="n">
        <f aca="false">B4_Retain+B5_W*(INDEX(B5_SelRet,1,1)-B4_Retain)</f>
        <v>0.0833333333333333</v>
      </c>
      <c r="D49" s="114" t="n">
        <f aca="false">B4_Retain+B5_W*(INDEX(B5_SelRet,1,2)-B4_Retain)</f>
        <v>0.0833333333333333</v>
      </c>
      <c r="E49" s="114" t="n">
        <f aca="false">B4_Retain+B5_W*(INDEX(B5_SelRet,1,3)-B4_Retain)</f>
        <v>0.0833333333333333</v>
      </c>
      <c r="F49" s="114" t="n">
        <f aca="false">B4_Retain+B5_W*(INDEX(B5_SelRet,1,4)-B4_Retain)</f>
        <v>0.0833333333333333</v>
      </c>
      <c r="G49" s="114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2018</v>
      </c>
      <c r="B50" s="61" t="s">
        <v>1163</v>
      </c>
      <c r="C50" s="114" t="n">
        <f aca="false">INDEX(B5_SelRet,1,1)</f>
        <v>0.0833333333333333</v>
      </c>
      <c r="D50" s="114" t="n">
        <f aca="false">INDEX(B5_SelRet,1,2)</f>
        <v>0.0833333333333333</v>
      </c>
      <c r="E50" s="114" t="n">
        <f aca="false">INDEX(B5_SelRet,1,3)</f>
        <v>0.67</v>
      </c>
      <c r="F50" s="114" t="n">
        <f aca="false">INDEX(B5_SelRet,1,4)</f>
        <v>0.67</v>
      </c>
      <c r="G50" s="114" t="n">
        <f aca="false">INDEX(B5_SelRet,1,5)</f>
        <v>0.67</v>
      </c>
    </row>
    <row r="51" customFormat="false" ht="15" hidden="false" customHeight="false" outlineLevel="0" collapsed="false">
      <c r="A51" s="5" t="s">
        <v>2019</v>
      </c>
      <c r="B51" s="61" t="s">
        <v>103</v>
      </c>
      <c r="C51" s="76" t="n">
        <f aca="false">1</f>
        <v>1</v>
      </c>
      <c r="D51" s="76" t="n">
        <f aca="false">1</f>
        <v>1</v>
      </c>
      <c r="E51" s="76" t="n">
        <f aca="false">1</f>
        <v>1</v>
      </c>
      <c r="F51" s="76" t="n">
        <f aca="false">1</f>
        <v>1</v>
      </c>
      <c r="G51" s="76" t="n">
        <f aca="false">1</f>
        <v>1</v>
      </c>
    </row>
    <row r="52" customFormat="false" ht="15" hidden="false" customHeight="false" outlineLevel="0" collapsed="false">
      <c r="A52" s="5" t="s">
        <v>2020</v>
      </c>
      <c r="B52" s="61" t="s">
        <v>103</v>
      </c>
      <c r="C52" s="76" t="n">
        <f aca="false">1+B5_W*(INDEX(B5_SelHz,1,1)-1)</f>
        <v>1</v>
      </c>
      <c r="D52" s="76" t="n">
        <f aca="false">1+B5_W*(INDEX(B5_SelHz,1,2)-1)</f>
        <v>1</v>
      </c>
      <c r="E52" s="76" t="n">
        <f aca="false">1+B5_W*(INDEX(B5_SelHz,1,3)-1)</f>
        <v>1</v>
      </c>
      <c r="F52" s="76" t="n">
        <f aca="false">1+B5_W*(INDEX(B5_SelHz,1,4)-1)</f>
        <v>1</v>
      </c>
      <c r="G52" s="76" t="n">
        <f aca="false">1+B5_W*(INDEX(B5_SelHz,1,5)-1)</f>
        <v>1</v>
      </c>
    </row>
    <row r="53" customFormat="false" ht="15" hidden="false" customHeight="false" outlineLevel="0" collapsed="false">
      <c r="A53" s="5" t="s">
        <v>2021</v>
      </c>
      <c r="B53" s="61" t="s">
        <v>103</v>
      </c>
      <c r="C53" s="76" t="n">
        <f aca="false">INDEX(B5_SelHz,1,1)</f>
        <v>1</v>
      </c>
      <c r="D53" s="76" t="n">
        <f aca="false">INDEX(B5_SelHz,1,2)</f>
        <v>1</v>
      </c>
      <c r="E53" s="76" t="n">
        <f aca="false">INDEX(B5_SelHz,1,3)</f>
        <v>1.2</v>
      </c>
      <c r="F53" s="76" t="n">
        <f aca="false">INDEX(B5_SelHz,1,4)</f>
        <v>2</v>
      </c>
      <c r="G53" s="76" t="n">
        <f aca="false">INDEX(B5_SelHz,1,5)</f>
        <v>2</v>
      </c>
    </row>
    <row r="55" customFormat="false" ht="15" hidden="false" customHeight="false" outlineLevel="0" collapsed="false">
      <c r="A55" s="75" t="s">
        <v>2022</v>
      </c>
      <c r="B55" s="69"/>
      <c r="C55" s="69"/>
      <c r="D55" s="69"/>
      <c r="E55" s="69"/>
      <c r="F55" s="69"/>
      <c r="G55" s="69"/>
      <c r="H55" s="69"/>
    </row>
    <row r="56" customFormat="false" ht="15" hidden="false" customHeight="false" outlineLevel="0" collapsed="false">
      <c r="A56" s="6" t="s">
        <v>2023</v>
      </c>
      <c r="B56" s="61" t="s">
        <v>99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2024</v>
      </c>
      <c r="B57" s="61" t="s">
        <v>99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2025</v>
      </c>
      <c r="B58" s="61" t="s">
        <v>99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2026</v>
      </c>
      <c r="B59" s="61" t="s">
        <v>99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2027</v>
      </c>
      <c r="B60" s="61" t="s">
        <v>99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2028</v>
      </c>
      <c r="B61" s="61" t="s">
        <v>99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2029</v>
      </c>
      <c r="B62" s="61" t="s">
        <v>99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2030</v>
      </c>
      <c r="B63" s="61" t="s">
        <v>99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2031</v>
      </c>
      <c r="B64" s="61" t="s">
        <v>99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5" t="s">
        <v>2032</v>
      </c>
      <c r="B66" s="69"/>
      <c r="C66" s="69"/>
      <c r="D66" s="69"/>
      <c r="E66" s="69"/>
      <c r="F66" s="69"/>
      <c r="G66" s="69"/>
      <c r="H66" s="69"/>
    </row>
    <row r="67" customFormat="false" ht="15" hidden="false" customHeight="false" outlineLevel="0" collapsed="false">
      <c r="A67" s="6" t="s">
        <v>2033</v>
      </c>
      <c r="B67" s="61" t="s">
        <v>435</v>
      </c>
      <c r="C67" s="90" t="n">
        <f aca="false">IF(ISNUMBER(Unit_Cost!M21),(C18*Unit_Cost!M19+C19*(Unit_Cost!M20+Cache_Store!M17*C48/B4_Retain)+C20*Unit_Cost!M21)/1000000,"SLO 不可達")</f>
        <v>9.85519835035262E-005</v>
      </c>
      <c r="D67" s="90" t="n">
        <f aca="false">IF(ISNUMBER(Unit_Cost!M21),(D18*Unit_Cost!M19+D19*(Unit_Cost!M20+Cache_Store!M17*D48/B4_Retain)+D20*Unit_Cost!M21)/1000000,"SLO 不可達")</f>
        <v>0.000651333959833564</v>
      </c>
      <c r="E67" s="90" t="n">
        <f aca="false">IF(ISNUMBER(Unit_Cost!M21),(E18*Unit_Cost!M19+E19*(Unit_Cost!M20+Cache_Store!M17*E48/B4_Retain)+E20*Unit_Cost!M21)/1000000,"SLO 不可達")</f>
        <v>0.000471164044692081</v>
      </c>
      <c r="F67" s="90" t="n">
        <f aca="false">IF(ISNUMBER(Unit_Cost!M21),(F18*Unit_Cost!M19+F19*(Unit_Cost!M20+Cache_Store!M17*F48/B4_Retain)+F20*Unit_Cost!M21)/1000000,"SLO 不可達")</f>
        <v>0.00188465617876833</v>
      </c>
      <c r="G67" s="90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2034</v>
      </c>
      <c r="B68" s="61" t="s">
        <v>435</v>
      </c>
      <c r="C68" s="90" t="n">
        <f aca="false">IF(ISNUMBER(Unit_Cost!M21),(C41*Unit_Cost!M19+C42*(Unit_Cost!M20+Cache_Store!M17*C49/B4_Retain)+C43*Unit_Cost!M21)/1000000,"SLO 不可達")</f>
        <v>9.85519835035262E-005</v>
      </c>
      <c r="D68" s="90" t="n">
        <f aca="false">IF(ISNUMBER(Unit_Cost!M21),(D41*Unit_Cost!M19+D42*(Unit_Cost!M20+Cache_Store!M17*D49/B4_Retain)+D43*Unit_Cost!M21)/1000000,"SLO 不可達")</f>
        <v>0.000651333959833564</v>
      </c>
      <c r="E68" s="90" t="n">
        <f aca="false">IF(ISNUMBER(Unit_Cost!M21),(E41*Unit_Cost!M19+E42*(Unit_Cost!M20+Cache_Store!M17*E49/B4_Retain)+E43*Unit_Cost!M21)/1000000,"SLO 不可達")</f>
        <v>0.000471164044692081</v>
      </c>
      <c r="F68" s="90" t="n">
        <f aca="false">IF(ISNUMBER(Unit_Cost!M21),(F41*Unit_Cost!M19+F42*(Unit_Cost!M20+Cache_Store!M17*F49/B4_Retain)+F43*Unit_Cost!M21)/1000000,"SLO 不可達")</f>
        <v>0.00188465617876833</v>
      </c>
      <c r="G68" s="90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2035</v>
      </c>
      <c r="B69" s="61" t="s">
        <v>435</v>
      </c>
      <c r="C69" s="90" t="n">
        <f aca="false">IF(ISNUMBER(Unit_Cost!M21),(C35*Unit_Cost!M19+C36*(Unit_Cost!M20+Cache_Store!M17*C50/B4_Retain)+C37*Unit_Cost!M21)/1000000,"SLO 不可達")</f>
        <v>9.85519835035262E-005</v>
      </c>
      <c r="D69" s="90" t="n">
        <f aca="false">IF(ISNUMBER(Unit_Cost!M21),(D35*Unit_Cost!M19+D36*(Unit_Cost!M20+Cache_Store!M17*D50/B4_Retain)+D37*Unit_Cost!M21)/1000000,"SLO 不可達")</f>
        <v>0.000651333959833564</v>
      </c>
      <c r="E69" s="90" t="n">
        <f aca="false">IF(ISNUMBER(Unit_Cost!M21),(E35*Unit_Cost!M19+E36*(Unit_Cost!M20+Cache_Store!M17*E50/B4_Retain)+E37*Unit_Cost!M21)/1000000,"SLO 不可達")</f>
        <v>0.000289594039504034</v>
      </c>
      <c r="F69" s="90" t="n">
        <f aca="false">IF(ISNUMBER(Unit_Cost!M21),(F35*Unit_Cost!M19+F36*(Unit_Cost!M20+Cache_Store!M17*F50/B4_Retain)+F37*Unit_Cost!M21)/1000000,"SLO 不可達")</f>
        <v>0.00115837615801614</v>
      </c>
      <c r="G69" s="90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2036</v>
      </c>
      <c r="B70" s="61" t="s">
        <v>435</v>
      </c>
      <c r="C70" s="90" t="n">
        <f aca="false">IF(ISNUMBER(Unit_Cost!M34),(C18*Unit_Cost!M32+C19*(Unit_Cost!M33+Cache_Store!M23*C48/B4_Retain)+C20*Unit_Cost!M34)/1000000,"SLO 不可達")</f>
        <v>0.000316499234753203</v>
      </c>
      <c r="D70" s="90" t="n">
        <f aca="false">IF(ISNUMBER(Unit_Cost!M34),(D18*Unit_Cost!M32+D19*(Unit_Cost!M33+Cache_Store!M23*D48/B4_Retain)+D20*Unit_Cost!M34)/1000000,"SLO 不可達")</f>
        <v>0.00207253122982228</v>
      </c>
      <c r="E70" s="90" t="n">
        <f aca="false">IF(ISNUMBER(Unit_Cost!M34),(E18*Unit_Cost!M32+E19*(Unit_Cost!M33+Cache_Store!M23*E48/B4_Retain)+E20*Unit_Cost!M34)/1000000,"SLO 不可達")</f>
        <v>0.00151055976201112</v>
      </c>
      <c r="F70" s="90" t="n">
        <f aca="false">IF(ISNUMBER(Unit_Cost!M34),(F18*Unit_Cost!M32+F19*(Unit_Cost!M33+Cache_Store!M23*F48/B4_Retain)+F20*Unit_Cost!M34)/1000000,"SLO 不可達")</f>
        <v>0.00604223904804447</v>
      </c>
      <c r="G70" s="90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2037</v>
      </c>
      <c r="B71" s="61" t="s">
        <v>435</v>
      </c>
      <c r="C71" s="90" t="n">
        <f aca="false">IF(ISNUMBER(Unit_Cost!M34),(C41*Unit_Cost!M32+C42*(Unit_Cost!M33+Cache_Store!M23*C49/B4_Retain)+C43*Unit_Cost!M34)/1000000,"SLO 不可達")</f>
        <v>0.000316499234753203</v>
      </c>
      <c r="D71" s="90" t="n">
        <f aca="false">IF(ISNUMBER(Unit_Cost!M34),(D41*Unit_Cost!M32+D42*(Unit_Cost!M33+Cache_Store!M23*D49/B4_Retain)+D43*Unit_Cost!M34)/1000000,"SLO 不可達")</f>
        <v>0.00207253122982228</v>
      </c>
      <c r="E71" s="90" t="n">
        <f aca="false">IF(ISNUMBER(Unit_Cost!M34),(E41*Unit_Cost!M32+E42*(Unit_Cost!M33+Cache_Store!M23*E49/B4_Retain)+E43*Unit_Cost!M34)/1000000,"SLO 不可達")</f>
        <v>0.00151055976201112</v>
      </c>
      <c r="F71" s="90" t="n">
        <f aca="false">IF(ISNUMBER(Unit_Cost!M34),(F41*Unit_Cost!M32+F42*(Unit_Cost!M33+Cache_Store!M23*F49/B4_Retain)+F43*Unit_Cost!M34)/1000000,"SLO 不可達")</f>
        <v>0.00604223904804447</v>
      </c>
      <c r="G71" s="90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2038</v>
      </c>
      <c r="B72" s="61" t="s">
        <v>435</v>
      </c>
      <c r="C72" s="90" t="n">
        <f aca="false">IF(ISNUMBER(Unit_Cost!M34),(C35*Unit_Cost!M32+C36*(Unit_Cost!M33+Cache_Store!M23*C50/B4_Retain)+C37*Unit_Cost!M34)/1000000,"SLO 不可達")</f>
        <v>0.000316499234753203</v>
      </c>
      <c r="D72" s="90" t="n">
        <f aca="false">IF(ISNUMBER(Unit_Cost!M34),(D35*Unit_Cost!M32+D36*(Unit_Cost!M33+Cache_Store!M23*D50/B4_Retain)+D37*Unit_Cost!M34)/1000000,"SLO 不可達")</f>
        <v>0.00207253122982228</v>
      </c>
      <c r="E72" s="90" t="n">
        <f aca="false">IF(ISNUMBER(Unit_Cost!M34),(E35*Unit_Cost!M32+E36*(Unit_Cost!M33+Cache_Store!M23*E50/B4_Retain)+E37*Unit_Cost!M34)/1000000,"SLO 不可達")</f>
        <v>0.000927591710124642</v>
      </c>
      <c r="F72" s="90" t="n">
        <f aca="false">IF(ISNUMBER(Unit_Cost!M34),(F35*Unit_Cost!M32+F36*(Unit_Cost!M33+Cache_Store!M23*F50/B4_Retain)+F37*Unit_Cost!M34)/1000000,"SLO 不可達")</f>
        <v>0.00371036684049857</v>
      </c>
      <c r="G72" s="90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2039</v>
      </c>
      <c r="B73" s="61" t="s">
        <v>435</v>
      </c>
      <c r="C73" s="90" t="n">
        <f aca="false">IF(ISNUMBER(Unit_Cost!M47),(C18*Unit_Cost!M45+C19*(Unit_Cost!M46+Cache_Store!M29*C48/B4_Retain)+C20*Unit_Cost!M47)/1000000,"SLO 不可達")</f>
        <v>0.00156122276555359</v>
      </c>
      <c r="D73" s="90" t="n">
        <f aca="false">IF(ISNUMBER(Unit_Cost!M47),(D18*Unit_Cost!M45+D19*(Unit_Cost!M46+Cache_Store!M29*D48/B4_Retain)+D20*Unit_Cost!M47)/1000000,"SLO 不可達")</f>
        <v>0.0106511329828895</v>
      </c>
      <c r="E73" s="90" t="n">
        <f aca="false">IF(ISNUMBER(Unit_Cost!M47),(E18*Unit_Cost!M45+E19*(Unit_Cost!M46+Cache_Store!M29*E48/B4_Retain)+E20*Unit_Cost!M47)/1000000,"SLO 不可達")</f>
        <v>0.00748143210464292</v>
      </c>
      <c r="F73" s="90" t="n">
        <f aca="false">IF(ISNUMBER(Unit_Cost!M47),(F18*Unit_Cost!M45+F19*(Unit_Cost!M46+Cache_Store!M29*F48/B4_Retain)+F20*Unit_Cost!M47)/1000000,"SLO 不可達")</f>
        <v>0.0299257284185717</v>
      </c>
      <c r="G73" s="90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2040</v>
      </c>
      <c r="B74" s="61" t="s">
        <v>435</v>
      </c>
      <c r="C74" s="90" t="n">
        <f aca="false">IF(ISNUMBER(Unit_Cost!M47),(C41*Unit_Cost!M45+C42*(Unit_Cost!M46+Cache_Store!M29*C49/B4_Retain)+C43*Unit_Cost!M47)/1000000,"SLO 不可達")</f>
        <v>0.00156122276555359</v>
      </c>
      <c r="D74" s="90" t="n">
        <f aca="false">IF(ISNUMBER(Unit_Cost!M47),(D41*Unit_Cost!M45+D42*(Unit_Cost!M46+Cache_Store!M29*D49/B4_Retain)+D43*Unit_Cost!M47)/1000000,"SLO 不可達")</f>
        <v>0.0106511329828895</v>
      </c>
      <c r="E74" s="90" t="n">
        <f aca="false">IF(ISNUMBER(Unit_Cost!M47),(E41*Unit_Cost!M45+E42*(Unit_Cost!M46+Cache_Store!M29*E49/B4_Retain)+E43*Unit_Cost!M47)/1000000,"SLO 不可達")</f>
        <v>0.00748143210464292</v>
      </c>
      <c r="F74" s="90" t="n">
        <f aca="false">IF(ISNUMBER(Unit_Cost!M47),(F41*Unit_Cost!M45+F42*(Unit_Cost!M46+Cache_Store!M29*F49/B4_Retain)+F43*Unit_Cost!M47)/1000000,"SLO 不可達")</f>
        <v>0.0299257284185717</v>
      </c>
      <c r="G74" s="90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2041</v>
      </c>
      <c r="B75" s="61" t="s">
        <v>435</v>
      </c>
      <c r="C75" s="90" t="n">
        <f aca="false">IF(ISNUMBER(Unit_Cost!M47),(C35*Unit_Cost!M45+C36*(Unit_Cost!M46+Cache_Store!M29*C50/B4_Retain)+C37*Unit_Cost!M47)/1000000,"SLO 不可達")</f>
        <v>0.00156122276555359</v>
      </c>
      <c r="D75" s="90" t="n">
        <f aca="false">IF(ISNUMBER(Unit_Cost!M47),(D35*Unit_Cost!M45+D36*(Unit_Cost!M46+Cache_Store!M29*D50/B4_Retain)+D37*Unit_Cost!M47)/1000000,"SLO 不可達")</f>
        <v>0.0106511329828895</v>
      </c>
      <c r="E75" s="90" t="n">
        <f aca="false">IF(ISNUMBER(Unit_Cost!M47),(E35*Unit_Cost!M45+E36*(Unit_Cost!M46+Cache_Store!M29*E50/B4_Retain)+E37*Unit_Cost!M47)/1000000,"SLO 不可達")</f>
        <v>0.00459014472100503</v>
      </c>
      <c r="F75" s="90" t="n">
        <f aca="false">IF(ISNUMBER(Unit_Cost!M47),(F35*Unit_Cost!M45+F36*(Unit_Cost!M46+Cache_Store!M29*F50/B4_Retain)+F37*Unit_Cost!M47)/1000000,"SLO 不可達")</f>
        <v>0.0183605788840201</v>
      </c>
      <c r="G75" s="90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2042</v>
      </c>
      <c r="B76" s="61" t="s">
        <v>435</v>
      </c>
      <c r="C76" s="90" t="n">
        <f aca="false">IF(ISNUMBER(Unit_Cost!J21),(C18*Unit_Cost!J19+C19*(Unit_Cost!J20+Cache_Store!J17*C48/B4_Retain)+C20*Unit_Cost!J21)/1000000,"SLO 不可達")</f>
        <v>0.000129726227073186</v>
      </c>
      <c r="D76" s="90" t="n">
        <f aca="false">IF(ISNUMBER(Unit_Cost!J21),(D18*Unit_Cost!J19+D19*(Unit_Cost!J20+Cache_Store!J17*D48/B4_Retain)+D20*Unit_Cost!J21)/1000000,"SLO 不可達")</f>
        <v>0.000863252065366275</v>
      </c>
      <c r="E76" s="90" t="n">
        <f aca="false">IF(ISNUMBER(Unit_Cost!J21),(E18*Unit_Cost!J19+E19*(Unit_Cost!J20+Cache_Store!J17*E48/B4_Retain)+E20*Unit_Cost!J21)/1000000,"SLO 不可達")</f>
        <v>0.000619697947444157</v>
      </c>
      <c r="F76" s="90" t="n">
        <f aca="false">IF(ISNUMBER(Unit_Cost!J21),(F18*Unit_Cost!J19+F19*(Unit_Cost!J20+Cache_Store!J17*F48/B4_Retain)+F20*Unit_Cost!J21)/1000000,"SLO 不可達")</f>
        <v>0.00247879178977663</v>
      </c>
      <c r="G76" s="90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2043</v>
      </c>
      <c r="B77" s="61" t="s">
        <v>435</v>
      </c>
      <c r="C77" s="90" t="n">
        <f aca="false">IF(ISNUMBER(Unit_Cost!J21),(C41*Unit_Cost!J19+C42*(Unit_Cost!J20+Cache_Store!J17*C49/B4_Retain)+C43*Unit_Cost!J21)/1000000,"SLO 不可達")</f>
        <v>0.000129726227073186</v>
      </c>
      <c r="D77" s="90" t="n">
        <f aca="false">IF(ISNUMBER(Unit_Cost!J21),(D41*Unit_Cost!J19+D42*(Unit_Cost!J20+Cache_Store!J17*D49/B4_Retain)+D43*Unit_Cost!J21)/1000000,"SLO 不可達")</f>
        <v>0.000863252065366275</v>
      </c>
      <c r="E77" s="90" t="n">
        <f aca="false">IF(ISNUMBER(Unit_Cost!J21),(E41*Unit_Cost!J19+E42*(Unit_Cost!J20+Cache_Store!J17*E49/B4_Retain)+E43*Unit_Cost!J21)/1000000,"SLO 不可達")</f>
        <v>0.000619697947444157</v>
      </c>
      <c r="F77" s="90" t="n">
        <f aca="false">IF(ISNUMBER(Unit_Cost!J21),(F41*Unit_Cost!J19+F42*(Unit_Cost!J20+Cache_Store!J17*F49/B4_Retain)+F43*Unit_Cost!J21)/1000000,"SLO 不可達")</f>
        <v>0.00247879178977663</v>
      </c>
      <c r="G77" s="90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2044</v>
      </c>
      <c r="B78" s="61" t="s">
        <v>435</v>
      </c>
      <c r="C78" s="90" t="n">
        <f aca="false">IF(ISNUMBER(Unit_Cost!J21),(C35*Unit_Cost!J19+C36*(Unit_Cost!J20+Cache_Store!J17*C50/B4_Retain)+C37*Unit_Cost!J21)/1000000,"SLO 不可達")</f>
        <v>0.000129726227073186</v>
      </c>
      <c r="D78" s="90" t="n">
        <f aca="false">IF(ISNUMBER(Unit_Cost!J21),(D35*Unit_Cost!J19+D36*(Unit_Cost!J20+Cache_Store!J17*D50/B4_Retain)+D37*Unit_Cost!J21)/1000000,"SLO 不可達")</f>
        <v>0.000863252065366275</v>
      </c>
      <c r="E78" s="90" t="n">
        <f aca="false">IF(ISNUMBER(Unit_Cost!J21),(E35*Unit_Cost!J19+E36*(Unit_Cost!J20+Cache_Store!J17*E50/B4_Retain)+E37*Unit_Cost!J21)/1000000,"SLO 不可達")</f>
        <v>0.000380427717590026</v>
      </c>
      <c r="F78" s="90" t="n">
        <f aca="false">IF(ISNUMBER(Unit_Cost!J21),(F35*Unit_Cost!J19+F36*(Unit_Cost!J20+Cache_Store!J17*F50/B4_Retain)+F37*Unit_Cost!J21)/1000000,"SLO 不可達")</f>
        <v>0.0015217108703601</v>
      </c>
      <c r="G78" s="90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2045</v>
      </c>
      <c r="B79" s="61" t="s">
        <v>435</v>
      </c>
      <c r="C79" s="90" t="n">
        <f aca="false">IF(ISNUMBER(Unit_Cost!J34),(C18*Unit_Cost!J32+C19*(Unit_Cost!J33+Cache_Store!J23*C48/B4_Retain)+C20*Unit_Cost!J34)/1000000,"SLO 不可達")</f>
        <v>0.000451509439174092</v>
      </c>
      <c r="D79" s="90" t="n">
        <f aca="false">IF(ISNUMBER(Unit_Cost!J34),(D18*Unit_Cost!J32+D19*(Unit_Cost!J33+Cache_Store!J23*D48/B4_Retain)+D20*Unit_Cost!J34)/1000000,"SLO 不可達")</f>
        <v>0.00300607617285425</v>
      </c>
      <c r="E79" s="90" t="n">
        <f aca="false">IF(ISNUMBER(Unit_Cost!J34),(E18*Unit_Cost!J32+E19*(Unit_Cost!J33+Cache_Store!J23*E48/B4_Retain)+E20*Unit_Cost!J34)/1000000,"SLO 不可達")</f>
        <v>0.0021555859722706</v>
      </c>
      <c r="F79" s="90" t="n">
        <f aca="false">IF(ISNUMBER(Unit_Cost!J34),(F18*Unit_Cost!J32+F19*(Unit_Cost!J33+Cache_Store!J23*F48/B4_Retain)+F20*Unit_Cost!J34)/1000000,"SLO 不可達")</f>
        <v>0.00862234388908241</v>
      </c>
      <c r="G79" s="90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2046</v>
      </c>
      <c r="B80" s="61" t="s">
        <v>435</v>
      </c>
      <c r="C80" s="90" t="n">
        <f aca="false">IF(ISNUMBER(Unit_Cost!J34),(C41*Unit_Cost!J32+C42*(Unit_Cost!J33+Cache_Store!J23*C49/B4_Retain)+C43*Unit_Cost!J34)/1000000,"SLO 不可達")</f>
        <v>0.000451509439174092</v>
      </c>
      <c r="D80" s="90" t="n">
        <f aca="false">IF(ISNUMBER(Unit_Cost!J34),(D41*Unit_Cost!J32+D42*(Unit_Cost!J33+Cache_Store!J23*D49/B4_Retain)+D43*Unit_Cost!J34)/1000000,"SLO 不可達")</f>
        <v>0.00300607617285425</v>
      </c>
      <c r="E80" s="90" t="n">
        <f aca="false">IF(ISNUMBER(Unit_Cost!J34),(E41*Unit_Cost!J32+E42*(Unit_Cost!J33+Cache_Store!J23*E49/B4_Retain)+E43*Unit_Cost!J34)/1000000,"SLO 不可達")</f>
        <v>0.0021555859722706</v>
      </c>
      <c r="F80" s="90" t="n">
        <f aca="false">IF(ISNUMBER(Unit_Cost!J34),(F41*Unit_Cost!J32+F42*(Unit_Cost!J33+Cache_Store!J23*F49/B4_Retain)+F43*Unit_Cost!J34)/1000000,"SLO 不可達")</f>
        <v>0.00862234388908241</v>
      </c>
      <c r="G80" s="90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2047</v>
      </c>
      <c r="B81" s="61" t="s">
        <v>435</v>
      </c>
      <c r="C81" s="90" t="n">
        <f aca="false">IF(ISNUMBER(Unit_Cost!J34),(C35*Unit_Cost!J32+C36*(Unit_Cost!J33+Cache_Store!J23*C50/B4_Retain)+C37*Unit_Cost!J34)/1000000,"SLO 不可達")</f>
        <v>0.000451509439174092</v>
      </c>
      <c r="D81" s="90" t="n">
        <f aca="false">IF(ISNUMBER(Unit_Cost!J34),(D35*Unit_Cost!J32+D36*(Unit_Cost!J33+Cache_Store!J23*D50/B4_Retain)+D37*Unit_Cost!J34)/1000000,"SLO 不可達")</f>
        <v>0.00300607617285425</v>
      </c>
      <c r="E81" s="90" t="n">
        <f aca="false">IF(ISNUMBER(Unit_Cost!J34),(E35*Unit_Cost!J32+E36*(Unit_Cost!J33+Cache_Store!J23*E50/B4_Retain)+E37*Unit_Cost!J34)/1000000,"SLO 不可達")</f>
        <v>0.00132136713435772</v>
      </c>
      <c r="F81" s="90" t="n">
        <f aca="false">IF(ISNUMBER(Unit_Cost!J34),(F35*Unit_Cost!J32+F36*(Unit_Cost!J33+Cache_Store!J23*F50/B4_Retain)+F37*Unit_Cost!J34)/1000000,"SLO 不可達")</f>
        <v>0.00528546853743088</v>
      </c>
      <c r="G81" s="90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2048</v>
      </c>
      <c r="B82" s="61" t="s">
        <v>435</v>
      </c>
      <c r="C82" s="90" t="n">
        <f aca="false">IF(ISNUMBER(Unit_Cost!J47),(C18*Unit_Cost!J45+C19*(Unit_Cost!J46+Cache_Store!J29*C48/B4_Retain)+C20*Unit_Cost!J47)/1000000,"SLO 不可達")</f>
        <v>0.0030809447933389</v>
      </c>
      <c r="D82" s="90" t="n">
        <f aca="false">IF(ISNUMBER(Unit_Cost!J47),(D18*Unit_Cost!J45+D19*(Unit_Cost!J46+Cache_Store!J29*D48/B4_Retain)+D20*Unit_Cost!J47)/1000000,"SLO 不可達")</f>
        <v>0.0216826206522139</v>
      </c>
      <c r="E82" s="90" t="n">
        <f aca="false">IF(ISNUMBER(Unit_Cost!J47),(E18*Unit_Cost!J45+E19*(Unit_Cost!J46+Cache_Store!J29*E48/B4_Retain)+E20*Unit_Cost!J47)/1000000,"SLO 不可達")</f>
        <v>0.014759842502668</v>
      </c>
      <c r="F82" s="90" t="n">
        <f aca="false">IF(ISNUMBER(Unit_Cost!J47),(F18*Unit_Cost!J45+F19*(Unit_Cost!J46+Cache_Store!J29*F48/B4_Retain)+F20*Unit_Cost!J47)/1000000,"SLO 不可達")</f>
        <v>0.0590393700106718</v>
      </c>
      <c r="G82" s="90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2049</v>
      </c>
      <c r="B83" s="61" t="s">
        <v>435</v>
      </c>
      <c r="C83" s="90" t="n">
        <f aca="false">IF(ISNUMBER(Unit_Cost!J47),(C41*Unit_Cost!J45+C42*(Unit_Cost!J46+Cache_Store!J29*C49/B4_Retain)+C43*Unit_Cost!J47)/1000000,"SLO 不可達")</f>
        <v>0.0030809447933389</v>
      </c>
      <c r="D83" s="90" t="n">
        <f aca="false">IF(ISNUMBER(Unit_Cost!J47),(D41*Unit_Cost!J45+D42*(Unit_Cost!J46+Cache_Store!J29*D49/B4_Retain)+D43*Unit_Cost!J47)/1000000,"SLO 不可達")</f>
        <v>0.0216826206522139</v>
      </c>
      <c r="E83" s="90" t="n">
        <f aca="false">IF(ISNUMBER(Unit_Cost!J47),(E41*Unit_Cost!J45+E42*(Unit_Cost!J46+Cache_Store!J29*E49/B4_Retain)+E43*Unit_Cost!J47)/1000000,"SLO 不可達")</f>
        <v>0.014759842502668</v>
      </c>
      <c r="F83" s="90" t="n">
        <f aca="false">IF(ISNUMBER(Unit_Cost!J47),(F41*Unit_Cost!J45+F42*(Unit_Cost!J46+Cache_Store!J29*F49/B4_Retain)+F43*Unit_Cost!J47)/1000000,"SLO 不可達")</f>
        <v>0.0590393700106718</v>
      </c>
      <c r="G83" s="90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2050</v>
      </c>
      <c r="B84" s="61" t="s">
        <v>435</v>
      </c>
      <c r="C84" s="90" t="n">
        <f aca="false">IF(ISNUMBER(Unit_Cost!J47),(C35*Unit_Cost!J45+C36*(Unit_Cost!J46+Cache_Store!J29*C50/B4_Retain)+C37*Unit_Cost!J47)/1000000,"SLO 不可達")</f>
        <v>0.0030809447933389</v>
      </c>
      <c r="D84" s="90" t="n">
        <f aca="false">IF(ISNUMBER(Unit_Cost!J47),(D35*Unit_Cost!J45+D36*(Unit_Cost!J46+Cache_Store!J29*D50/B4_Retain)+D37*Unit_Cost!J47)/1000000,"SLO 不可達")</f>
        <v>0.0216826206522139</v>
      </c>
      <c r="E84" s="90" t="n">
        <f aca="false">IF(ISNUMBER(Unit_Cost!J47),(E35*Unit_Cost!J45+E36*(Unit_Cost!J46+Cache_Store!J29*E50/B4_Retain)+E37*Unit_Cost!J47)/1000000,"SLO 不可達")</f>
        <v>0.00901426236670322</v>
      </c>
      <c r="F84" s="90" t="n">
        <f aca="false">IF(ISNUMBER(Unit_Cost!J47),(F35*Unit_Cost!J45+F36*(Unit_Cost!J46+Cache_Store!J29*F50/B4_Retain)+F37*Unit_Cost!J47)/1000000,"SLO 不可達")</f>
        <v>0.0360570494668129</v>
      </c>
      <c r="G84" s="90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5" t="s">
        <v>2051</v>
      </c>
      <c r="B86" s="69"/>
      <c r="C86" s="69"/>
      <c r="D86" s="69"/>
      <c r="E86" s="69"/>
      <c r="F86" s="69"/>
      <c r="G86" s="69"/>
      <c r="H86" s="69"/>
    </row>
    <row r="87" customFormat="false" ht="15" hidden="false" customHeight="false" outlineLevel="0" collapsed="false">
      <c r="A87" s="6" t="s">
        <v>2033</v>
      </c>
      <c r="B87" s="61" t="s">
        <v>435</v>
      </c>
      <c r="C87" s="168" t="n">
        <f aca="false">IF(AND(ISNUMBER(C67),C56&gt;0),C67/C56,"SLO 不可達")</f>
        <v>0.000102418941208421</v>
      </c>
      <c r="D87" s="168" t="n">
        <f aca="false">IF(AND(ISNUMBER(D67),D56&gt;0),D67/D56,"SLO 不可達")</f>
        <v>0.000736788526866689</v>
      </c>
      <c r="E87" s="168" t="n">
        <f aca="false">IF(AND(ISNUMBER(E67),E56&gt;0),E67/E56,"SLO 不可達")</f>
        <v>0.000677859629711026</v>
      </c>
      <c r="F87" s="168" t="n">
        <f aca="false">IF(AND(ISNUMBER(F67),F56&gt;0),F67/F56,"SLO 不可達")</f>
        <v>0.00422314977569979</v>
      </c>
      <c r="G87" s="168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2034</v>
      </c>
      <c r="B88" s="61" t="s">
        <v>435</v>
      </c>
      <c r="C88" s="169" t="n">
        <f aca="false">IF(AND(ISNUMBER(C68),C57&gt;0),C68/C57,"SLO 不可達")</f>
        <v>0.000102418941208421</v>
      </c>
      <c r="D88" s="169" t="n">
        <f aca="false">IF(AND(ISNUMBER(D68),D57&gt;0),D68/D57,"SLO 不可達")</f>
        <v>0.000736788526866689</v>
      </c>
      <c r="E88" s="169" t="n">
        <f aca="false">IF(AND(ISNUMBER(E68),E57&gt;0),E68/E57,"SLO 不可達")</f>
        <v>0.000677859629711026</v>
      </c>
      <c r="F88" s="169" t="n">
        <f aca="false">IF(AND(ISNUMBER(F68),F57&gt;0),F68/F57,"SLO 不可達")</f>
        <v>0.00422314977569979</v>
      </c>
      <c r="G88" s="169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2035</v>
      </c>
      <c r="B89" s="61" t="s">
        <v>435</v>
      </c>
      <c r="C89" s="168" t="n">
        <f aca="false">IF(AND(ISNUMBER(C69),C58&gt;0),C69/C58,"SLO 不可達")</f>
        <v>0.000102418941208421</v>
      </c>
      <c r="D89" s="168" t="n">
        <f aca="false">IF(AND(ISNUMBER(D69),D58&gt;0),D69/D58,"SLO 不可達")</f>
        <v>0.000736788526866689</v>
      </c>
      <c r="E89" s="168" t="n">
        <f aca="false">IF(AND(ISNUMBER(E69),E58&gt;0),E69/E58,"SLO 不可達")</f>
        <v>0.000400399903202603</v>
      </c>
      <c r="F89" s="168" t="n">
        <f aca="false">IF(AND(ISNUMBER(F69),F58&gt;0),F69/F58,"SLO 不可達")</f>
        <v>0.00201301212487506</v>
      </c>
      <c r="G89" s="168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2036</v>
      </c>
      <c r="B90" s="61" t="s">
        <v>435</v>
      </c>
      <c r="C90" s="168" t="n">
        <f aca="false">IF(AND(ISNUMBER(C70),C59&gt;0),C70/C59,"SLO 不可達")</f>
        <v>0.000320037803771877</v>
      </c>
      <c r="D90" s="168" t="n">
        <f aca="false">IF(AND(ISNUMBER(D70),D59&gt;0),D70/D59,"SLO 不可達")</f>
        <v>0.00215001015603622</v>
      </c>
      <c r="E90" s="168" t="n">
        <f aca="false">IF(AND(ISNUMBER(E70),E59&gt;0),E70/E59,"SLO 不可達")</f>
        <v>0.00169937973226251</v>
      </c>
      <c r="F90" s="168" t="n">
        <f aca="false">IF(AND(ISNUMBER(F70),F59&gt;0),F70/F59,"SLO 不可達")</f>
        <v>0.00817849315025566</v>
      </c>
      <c r="G90" s="168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2037</v>
      </c>
      <c r="B91" s="61" t="s">
        <v>435</v>
      </c>
      <c r="C91" s="169" t="n">
        <f aca="false">IF(AND(ISNUMBER(C71),C60&gt;0),C71/C60,"SLO 不可達")</f>
        <v>0.000320037803771877</v>
      </c>
      <c r="D91" s="169" t="n">
        <f aca="false">IF(AND(ISNUMBER(D71),D60&gt;0),D71/D60,"SLO 不可達")</f>
        <v>0.00215001015603622</v>
      </c>
      <c r="E91" s="169" t="n">
        <f aca="false">IF(AND(ISNUMBER(E71),E60&gt;0),E71/E60,"SLO 不可達")</f>
        <v>0.00169937973226251</v>
      </c>
      <c r="F91" s="169" t="n">
        <f aca="false">IF(AND(ISNUMBER(F71),F60&gt;0),F71/F60,"SLO 不可達")</f>
        <v>0.00817849315025566</v>
      </c>
      <c r="G91" s="169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2038</v>
      </c>
      <c r="B92" s="61" t="s">
        <v>435</v>
      </c>
      <c r="C92" s="168" t="n">
        <f aca="false">IF(AND(ISNUMBER(C72),C61&gt;0),C72/C61,"SLO 不可達")</f>
        <v>0.000320037803771877</v>
      </c>
      <c r="D92" s="168" t="n">
        <f aca="false">IF(AND(ISNUMBER(D72),D61&gt;0),D72/D61,"SLO 不可達")</f>
        <v>0.00215001015603622</v>
      </c>
      <c r="E92" s="168" t="n">
        <f aca="false">IF(AND(ISNUMBER(E72),E61&gt;0),E72/E61,"SLO 不可達")</f>
        <v>0.00102872192666894</v>
      </c>
      <c r="F92" s="168" t="n">
        <f aca="false">IF(AND(ISNUMBER(F72),F61&gt;0),F72/F61,"SLO 不可達")</f>
        <v>0.00449037538436144</v>
      </c>
      <c r="G92" s="168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2039</v>
      </c>
      <c r="B93" s="61" t="s">
        <v>435</v>
      </c>
      <c r="C93" s="168" t="n">
        <f aca="false">IF(AND(ISNUMBER(C73),C62&gt;0),C73/C62,"SLO 不可達")</f>
        <v>0.00157160157133891</v>
      </c>
      <c r="D93" s="168" t="n">
        <f aca="false">IF(AND(ISNUMBER(D73),D62&gt;0),D73/D62,"SLO 不可達")</f>
        <v>0.0108878916138528</v>
      </c>
      <c r="E93" s="168" t="n">
        <f aca="false">IF(AND(ISNUMBER(E73),E62&gt;0),E73/E62,"SLO 不可達")</f>
        <v>0.00803749287272112</v>
      </c>
      <c r="F93" s="168" t="n">
        <f aca="false">IF(AND(ISNUMBER(F73),F62&gt;0),F73/F62,"SLO 不可達")</f>
        <v>0.03621683785633</v>
      </c>
      <c r="G93" s="168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2040</v>
      </c>
      <c r="B94" s="61" t="s">
        <v>435</v>
      </c>
      <c r="C94" s="169" t="n">
        <f aca="false">IF(AND(ISNUMBER(C74),C63&gt;0),C74/C63,"SLO 不可達")</f>
        <v>0.00157160157133891</v>
      </c>
      <c r="D94" s="169" t="n">
        <f aca="false">IF(AND(ISNUMBER(D74),D63&gt;0),D74/D63,"SLO 不可達")</f>
        <v>0.0108878916138528</v>
      </c>
      <c r="E94" s="169" t="n">
        <f aca="false">IF(AND(ISNUMBER(E74),E63&gt;0),E74/E63,"SLO 不可達")</f>
        <v>0.00803749287272112</v>
      </c>
      <c r="F94" s="169" t="n">
        <f aca="false">IF(AND(ISNUMBER(F74),F63&gt;0),F74/F63,"SLO 不可達")</f>
        <v>0.03621683785633</v>
      </c>
      <c r="G94" s="169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2041</v>
      </c>
      <c r="B95" s="61" t="s">
        <v>435</v>
      </c>
      <c r="C95" s="168" t="n">
        <f aca="false">IF(AND(ISNUMBER(C75),C64&gt;0),C75/C64,"SLO 不可達")</f>
        <v>0.00157160157133891</v>
      </c>
      <c r="D95" s="168" t="n">
        <f aca="false">IF(AND(ISNUMBER(D75),D64&gt;0),D75/D64,"SLO 不可達")</f>
        <v>0.0108878916138528</v>
      </c>
      <c r="E95" s="168" t="n">
        <f aca="false">IF(AND(ISNUMBER(E75),E64&gt;0),E75/E64,"SLO 不可達")</f>
        <v>0.00488770705750587</v>
      </c>
      <c r="F95" s="168" t="n">
        <f aca="false">IF(AND(ISNUMBER(F75),F64&gt;0),F75/F64,"SLO 不可達")</f>
        <v>0.0206556512445227</v>
      </c>
      <c r="G95" s="168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2042</v>
      </c>
      <c r="B96" s="61" t="s">
        <v>435</v>
      </c>
      <c r="C96" s="168" t="n">
        <f aca="false">IF(AND(ISNUMBER(C76),C56&gt;0),C76/C56,"SLO 不可達")</f>
        <v>0.000134816391831662</v>
      </c>
      <c r="D96" s="168" t="n">
        <f aca="false">IF(AND(ISNUMBER(D76),D56&gt;0),D76/D56,"SLO 不可達")</f>
        <v>0.000976510141922234</v>
      </c>
      <c r="E96" s="168" t="n">
        <f aca="false">IF(AND(ISNUMBER(E76),E56&gt;0),E76/E56,"SLO 不可達")</f>
        <v>0.000891554068947909</v>
      </c>
      <c r="F96" s="168" t="n">
        <f aca="false">IF(AND(ISNUMBER(F76),F56&gt;0),F76/F56,"SLO 不可達")</f>
        <v>0.00555449270213466</v>
      </c>
      <c r="G96" s="168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2043</v>
      </c>
      <c r="B97" s="61" t="s">
        <v>435</v>
      </c>
      <c r="C97" s="168" t="n">
        <f aca="false">IF(AND(ISNUMBER(C77),C57&gt;0),C77/C57,"SLO 不可達")</f>
        <v>0.000134816391831662</v>
      </c>
      <c r="D97" s="168" t="n">
        <f aca="false">IF(AND(ISNUMBER(D77),D57&gt;0),D77/D57,"SLO 不可達")</f>
        <v>0.000976510141922234</v>
      </c>
      <c r="E97" s="168" t="n">
        <f aca="false">IF(AND(ISNUMBER(E77),E57&gt;0),E77/E57,"SLO 不可達")</f>
        <v>0.000891554068947909</v>
      </c>
      <c r="F97" s="168" t="n">
        <f aca="false">IF(AND(ISNUMBER(F77),F57&gt;0),F77/F57,"SLO 不可達")</f>
        <v>0.00555449270213466</v>
      </c>
      <c r="G97" s="168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2044</v>
      </c>
      <c r="B98" s="61" t="s">
        <v>435</v>
      </c>
      <c r="C98" s="168" t="n">
        <f aca="false">IF(AND(ISNUMBER(C78),C58&gt;0),C78/C58,"SLO 不可達")</f>
        <v>0.000134816391831662</v>
      </c>
      <c r="D98" s="168" t="n">
        <f aca="false">IF(AND(ISNUMBER(D78),D58&gt;0),D78/D58,"SLO 不可達")</f>
        <v>0.000976510141922234</v>
      </c>
      <c r="E98" s="168" t="n">
        <f aca="false">IF(AND(ISNUMBER(E78),E58&gt;0),E78/E58,"SLO 不可達")</f>
        <v>0.000525988799905916</v>
      </c>
      <c r="F98" s="168" t="n">
        <f aca="false">IF(AND(ISNUMBER(F78),F58&gt;0),F78/F58,"SLO 不可達")</f>
        <v>0.00264441080851941</v>
      </c>
      <c r="G98" s="168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2045</v>
      </c>
      <c r="B99" s="61" t="s">
        <v>435</v>
      </c>
      <c r="C99" s="168" t="n">
        <f aca="false">IF(AND(ISNUMBER(C79),C59&gt;0),C79/C59,"SLO 不可達")</f>
        <v>0.000456557468166472</v>
      </c>
      <c r="D99" s="168" t="n">
        <f aca="false">IF(AND(ISNUMBER(D79),D59&gt;0),D79/D59,"SLO 不可達")</f>
        <v>0.00311845448138764</v>
      </c>
      <c r="E99" s="168" t="n">
        <f aca="false">IF(AND(ISNUMBER(E79),E59&gt;0),E79/E59,"SLO 不可達")</f>
        <v>0.00242503421880443</v>
      </c>
      <c r="F99" s="168" t="n">
        <f aca="false">IF(AND(ISNUMBER(F79),F59&gt;0),F79/F59,"SLO 不可達")</f>
        <v>0.0116708028059287</v>
      </c>
      <c r="G99" s="168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2046</v>
      </c>
      <c r="B100" s="61" t="s">
        <v>435</v>
      </c>
      <c r="C100" s="168" t="n">
        <f aca="false">IF(AND(ISNUMBER(C80),C60&gt;0),C80/C60,"SLO 不可達")</f>
        <v>0.000456557468166472</v>
      </c>
      <c r="D100" s="168" t="n">
        <f aca="false">IF(AND(ISNUMBER(D80),D60&gt;0),D80/D60,"SLO 不可達")</f>
        <v>0.00311845448138764</v>
      </c>
      <c r="E100" s="168" t="n">
        <f aca="false">IF(AND(ISNUMBER(E80),E60&gt;0),E80/E60,"SLO 不可達")</f>
        <v>0.00242503421880443</v>
      </c>
      <c r="F100" s="168" t="n">
        <f aca="false">IF(AND(ISNUMBER(F80),F60&gt;0),F80/F60,"SLO 不可達")</f>
        <v>0.0116708028059287</v>
      </c>
      <c r="G100" s="168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2047</v>
      </c>
      <c r="B101" s="61" t="s">
        <v>435</v>
      </c>
      <c r="C101" s="168" t="n">
        <f aca="false">IF(AND(ISNUMBER(C81),C61&gt;0),C81/C61,"SLO 不可達")</f>
        <v>0.000456557468166472</v>
      </c>
      <c r="D101" s="168" t="n">
        <f aca="false">IF(AND(ISNUMBER(D81),D61&gt;0),D81/D61,"SLO 不可達")</f>
        <v>0.00311845448138764</v>
      </c>
      <c r="E101" s="168" t="n">
        <f aca="false">IF(AND(ISNUMBER(E81),E61&gt;0),E81/E61,"SLO 不可達")</f>
        <v>0.00146542851715529</v>
      </c>
      <c r="F101" s="168" t="n">
        <f aca="false">IF(AND(ISNUMBER(F81),F61&gt;0),F81/F61,"SLO 不可達")</f>
        <v>0.00639660142394636</v>
      </c>
      <c r="G101" s="168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2048</v>
      </c>
      <c r="B102" s="61" t="s">
        <v>435</v>
      </c>
      <c r="C102" s="168" t="n">
        <f aca="false">IF(AND(ISNUMBER(C82),C62&gt;0),C82/C62,"SLO 不可達")</f>
        <v>0.00310142651340531</v>
      </c>
      <c r="D102" s="168" t="n">
        <f aca="false">IF(AND(ISNUMBER(D82),D62&gt;0),D82/D62,"SLO 不可達")</f>
        <v>0.0221645926254829</v>
      </c>
      <c r="E102" s="168" t="n">
        <f aca="false">IF(AND(ISNUMBER(E82),E62&gt;0),E82/E62,"SLO 不可達")</f>
        <v>0.0158568743601987</v>
      </c>
      <c r="F102" s="168" t="n">
        <f aca="false">IF(AND(ISNUMBER(F82),F62&gt;0),F82/F62,"SLO 不可達")</f>
        <v>0.0714508686608747</v>
      </c>
      <c r="G102" s="168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2049</v>
      </c>
      <c r="B103" s="61" t="s">
        <v>435</v>
      </c>
      <c r="C103" s="168" t="n">
        <f aca="false">IF(AND(ISNUMBER(C83),C63&gt;0),C83/C63,"SLO 不可達")</f>
        <v>0.00310142651340531</v>
      </c>
      <c r="D103" s="168" t="n">
        <f aca="false">IF(AND(ISNUMBER(D83),D63&gt;0),D83/D63,"SLO 不可達")</f>
        <v>0.0221645926254829</v>
      </c>
      <c r="E103" s="168" t="n">
        <f aca="false">IF(AND(ISNUMBER(E83),E63&gt;0),E83/E63,"SLO 不可達")</f>
        <v>0.0158568743601987</v>
      </c>
      <c r="F103" s="168" t="n">
        <f aca="false">IF(AND(ISNUMBER(F83),F63&gt;0),F83/F63,"SLO 不可達")</f>
        <v>0.0714508686608747</v>
      </c>
      <c r="G103" s="168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2050</v>
      </c>
      <c r="B104" s="61" t="s">
        <v>435</v>
      </c>
      <c r="C104" s="168" t="n">
        <f aca="false">IF(AND(ISNUMBER(C84),C64&gt;0),C84/C64,"SLO 不可達")</f>
        <v>0.00310142651340531</v>
      </c>
      <c r="D104" s="168" t="n">
        <f aca="false">IF(AND(ISNUMBER(D84),D64&gt;0),D84/D64,"SLO 不可達")</f>
        <v>0.0221645926254829</v>
      </c>
      <c r="E104" s="168" t="n">
        <f aca="false">IF(AND(ISNUMBER(E84),E64&gt;0),E84/E64,"SLO 不可達")</f>
        <v>0.00959862411011258</v>
      </c>
      <c r="F104" s="168" t="n">
        <f aca="false">IF(AND(ISNUMBER(F84),F64&gt;0),F84/F64,"SLO 不可達")</f>
        <v>0.0405641806501645</v>
      </c>
      <c r="G104" s="168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2052</v>
      </c>
      <c r="B105" s="61" t="s">
        <v>292</v>
      </c>
      <c r="C105" s="67" t="n">
        <f aca="false">IF(C56&gt;0,C21/C56,0)</f>
        <v>3117.71323825531</v>
      </c>
      <c r="D105" s="67" t="n">
        <f aca="false">IF(D56&gt;0,D21/D56,0)</f>
        <v>7013.43573078971</v>
      </c>
      <c r="E105" s="67" t="n">
        <f aca="false">IF(E56&gt;0,E21/E56,0)</f>
        <v>39707.8809191629</v>
      </c>
      <c r="F105" s="67" t="n">
        <f aca="false">IF(F56&gt;0,F21/F56,0)</f>
        <v>247385.035259829</v>
      </c>
      <c r="G105" s="67" t="n">
        <f aca="false">IF(G56&gt;0,G21/G56,0)</f>
        <v>6737238.86760273</v>
      </c>
    </row>
    <row r="106" customFormat="false" ht="15" hidden="false" customHeight="false" outlineLevel="0" collapsed="false">
      <c r="A106" s="5" t="s">
        <v>2053</v>
      </c>
      <c r="B106" s="61" t="s">
        <v>292</v>
      </c>
      <c r="C106" s="67" t="n">
        <f aca="false">IF(C57&gt;0,C44/C57,0)</f>
        <v>3117.71323825531</v>
      </c>
      <c r="D106" s="67" t="n">
        <f aca="false">IF(D57&gt;0,D44/D57,0)</f>
        <v>7013.43573078971</v>
      </c>
      <c r="E106" s="67" t="n">
        <f aca="false">IF(E57&gt;0,E44/E57,0)</f>
        <v>39707.8809191629</v>
      </c>
      <c r="F106" s="67" t="n">
        <f aca="false">IF(F57&gt;0,F44/F57,0)</f>
        <v>247385.035259829</v>
      </c>
      <c r="G106" s="67" t="n">
        <f aca="false">IF(G57&gt;0,G44/G57,0)</f>
        <v>6737238.86760273</v>
      </c>
    </row>
    <row r="107" customFormat="false" ht="15" hidden="false" customHeight="false" outlineLevel="0" collapsed="false">
      <c r="A107" s="5" t="s">
        <v>2054</v>
      </c>
      <c r="B107" s="61" t="s">
        <v>292</v>
      </c>
      <c r="C107" s="67" t="n">
        <f aca="false">IF(C58&gt;0,C38/C58,0)</f>
        <v>3117.71323825531</v>
      </c>
      <c r="D107" s="67" t="n">
        <f aca="false">IF(D58&gt;0,D38/D58,0)</f>
        <v>7013.43573078971</v>
      </c>
      <c r="E107" s="67" t="n">
        <f aca="false">IF(E58&gt;0,E38/E58,0)</f>
        <v>22467.7637363593</v>
      </c>
      <c r="F107" s="67" t="n">
        <f aca="false">IF(F58&gt;0,F38/F58,0)</f>
        <v>112956.77261249</v>
      </c>
      <c r="G107" s="67" t="n">
        <f aca="false">IF(G58&gt;0,G38/G58,0)</f>
        <v>2271375.7832015</v>
      </c>
    </row>
    <row r="108" customFormat="false" ht="15" hidden="false" customHeight="false" outlineLevel="0" collapsed="false">
      <c r="A108" s="5" t="s">
        <v>2055</v>
      </c>
      <c r="B108" s="61" t="s">
        <v>292</v>
      </c>
      <c r="C108" s="67" t="n">
        <f aca="false">IF(C59&gt;0,C21/C59,0)</f>
        <v>3033.5410196625</v>
      </c>
      <c r="D108" s="67" t="n">
        <f aca="false">IF(D59&gt;0,D21/D59,0)</f>
        <v>6431.77906108929</v>
      </c>
      <c r="E108" s="67" t="n">
        <f aca="false">IF(E59&gt;0,E21/E59,0)</f>
        <v>31050</v>
      </c>
      <c r="F108" s="67" t="n">
        <f aca="false">IF(F59&gt;0,F21/F59,0)</f>
        <v>149432.294321497</v>
      </c>
      <c r="G108" s="67" t="n">
        <f aca="false">IF(G59&gt;0,G21/G59,0)</f>
        <v>2988000</v>
      </c>
    </row>
    <row r="109" customFormat="false" ht="15" hidden="false" customHeight="false" outlineLevel="0" collapsed="false">
      <c r="A109" s="5" t="s">
        <v>2056</v>
      </c>
      <c r="B109" s="61" t="s">
        <v>292</v>
      </c>
      <c r="C109" s="67" t="n">
        <f aca="false">IF(C60&gt;0,C44/C60,0)</f>
        <v>3033.5410196625</v>
      </c>
      <c r="D109" s="67" t="n">
        <f aca="false">IF(D60&gt;0,D44/D60,0)</f>
        <v>6431.77906108929</v>
      </c>
      <c r="E109" s="67" t="n">
        <f aca="false">IF(E60&gt;0,E44/E60,0)</f>
        <v>31050</v>
      </c>
      <c r="F109" s="67" t="n">
        <f aca="false">IF(F60&gt;0,F44/F60,0)</f>
        <v>149432.294321497</v>
      </c>
      <c r="G109" s="67" t="n">
        <f aca="false">IF(G60&gt;0,G44/G60,0)</f>
        <v>2988000</v>
      </c>
    </row>
    <row r="110" customFormat="false" ht="15" hidden="false" customHeight="false" outlineLevel="0" collapsed="false">
      <c r="A110" s="5" t="s">
        <v>2057</v>
      </c>
      <c r="B110" s="61" t="s">
        <v>292</v>
      </c>
      <c r="C110" s="67" t="n">
        <f aca="false">IF(C61&gt;0,C38/C61,0)</f>
        <v>3033.5410196625</v>
      </c>
      <c r="D110" s="67" t="n">
        <f aca="false">IF(D61&gt;0,D38/D61,0)</f>
        <v>6431.77906108929</v>
      </c>
      <c r="E110" s="67" t="n">
        <f aca="false">IF(E61&gt;0,E38/E61,0)</f>
        <v>18021.736744368</v>
      </c>
      <c r="F110" s="67" t="n">
        <f aca="false">IF(F61&gt;0,F38/F61,0)</f>
        <v>78664.9540195861</v>
      </c>
      <c r="G110" s="67" t="n">
        <f aca="false">IF(G61&gt;0,G38/G61,0)</f>
        <v>1173373.0817518</v>
      </c>
    </row>
    <row r="111" customFormat="false" ht="15" hidden="false" customHeight="false" outlineLevel="0" collapsed="false">
      <c r="A111" s="5" t="s">
        <v>2058</v>
      </c>
      <c r="B111" s="61" t="s">
        <v>292</v>
      </c>
      <c r="C111" s="67" t="n">
        <f aca="false">IF(C62&gt;0,C21/C62,0)</f>
        <v>3019.94360961354</v>
      </c>
      <c r="D111" s="67" t="n">
        <f aca="false">IF(D62&gt;0,D21/D62,0)</f>
        <v>6337.81665427802</v>
      </c>
      <c r="E111" s="67" t="n">
        <f aca="false">IF(E62&gt;0,E21/E62,0)</f>
        <v>29651.3822733797</v>
      </c>
      <c r="F111" s="67" t="n">
        <f aca="false">IF(F62&gt;0,F21/F62,0)</f>
        <v>133608.741061003</v>
      </c>
      <c r="G111" s="67" t="n">
        <f aca="false">IF(G62&gt;0,G21/G62,0)</f>
        <v>2382337.71490703</v>
      </c>
    </row>
    <row r="112" customFormat="false" ht="15" hidden="false" customHeight="false" outlineLevel="0" collapsed="false">
      <c r="A112" s="5" t="s">
        <v>2059</v>
      </c>
      <c r="B112" s="61" t="s">
        <v>292</v>
      </c>
      <c r="C112" s="67" t="n">
        <f aca="false">IF(C63&gt;0,C44/C63,0)</f>
        <v>3019.94360961354</v>
      </c>
      <c r="D112" s="67" t="n">
        <f aca="false">IF(D63&gt;0,D44/D63,0)</f>
        <v>6337.81665427802</v>
      </c>
      <c r="E112" s="67" t="n">
        <f aca="false">IF(E63&gt;0,E44/E63,0)</f>
        <v>29651.3822733797</v>
      </c>
      <c r="F112" s="67" t="n">
        <f aca="false">IF(F63&gt;0,F44/F63,0)</f>
        <v>133608.741061003</v>
      </c>
      <c r="G112" s="67" t="n">
        <f aca="false">IF(G63&gt;0,G44/G63,0)</f>
        <v>2382337.71490703</v>
      </c>
    </row>
    <row r="113" customFormat="false" ht="15" hidden="false" customHeight="false" outlineLevel="0" collapsed="false">
      <c r="A113" s="5" t="s">
        <v>2060</v>
      </c>
      <c r="B113" s="61" t="s">
        <v>292</v>
      </c>
      <c r="C113" s="67" t="n">
        <f aca="false">IF(C64&gt;0,C38/C64,0)</f>
        <v>3019.94360961354</v>
      </c>
      <c r="D113" s="67" t="n">
        <f aca="false">IF(D64&gt;0,D38/D64,0)</f>
        <v>6337.81665427802</v>
      </c>
      <c r="E113" s="67" t="n">
        <f aca="false">IF(E64&gt;0,E38/E64,0)</f>
        <v>17303.5134028725</v>
      </c>
      <c r="F113" s="67" t="n">
        <f aca="false">IF(F64&gt;0,F38/F64,0)</f>
        <v>73125.36</v>
      </c>
      <c r="G113" s="67" t="n">
        <f aca="false">IF(G64&gt;0,G38/G64,0)</f>
        <v>995998.726934155</v>
      </c>
    </row>
    <row r="115" customFormat="false" ht="15" hidden="false" customHeight="false" outlineLevel="0" collapsed="false">
      <c r="A115" s="75" t="s">
        <v>2061</v>
      </c>
      <c r="B115" s="69"/>
      <c r="C115" s="69"/>
      <c r="D115" s="69"/>
      <c r="E115" s="69"/>
      <c r="F115" s="69"/>
      <c r="G115" s="69"/>
      <c r="H115" s="69"/>
    </row>
    <row r="116" customFormat="false" ht="15" hidden="false" customHeight="false" outlineLevel="0" collapsed="false">
      <c r="A116" s="5" t="s">
        <v>2062</v>
      </c>
      <c r="B116" s="61" t="s">
        <v>435</v>
      </c>
      <c r="C116" s="168" t="n">
        <f aca="false">(C18*INDEX(B4_EffIn,1,1)+C19*INDEX(B4_EffCache,1,1)+C20*INDEX(B4_EffOut,1,1))/1000000</f>
        <v>0.000328</v>
      </c>
      <c r="D116" s="168" t="n">
        <f aca="false">(D18*INDEX(B4_EffIn,1,1)+D19*INDEX(B4_EffCache,1,1)+D20*INDEX(B4_EffOut,1,1))/1000000</f>
        <v>0.001608</v>
      </c>
      <c r="E116" s="168" t="n">
        <f aca="false">(E18*INDEX(B4_EffIn,1,1)+E19*INDEX(B4_EffCache,1,1)+E20*INDEX(B4_EffOut,1,1))/1000000</f>
        <v>0.00165408</v>
      </c>
      <c r="F116" s="168" t="n">
        <f aca="false">(F18*INDEX(B4_EffIn,1,1)+F19*INDEX(B4_EffCache,1,1)+F20*INDEX(B4_EffOut,1,1))/1000000</f>
        <v>0.00661632</v>
      </c>
      <c r="G116" s="16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2063</v>
      </c>
      <c r="B117" s="61" t="s">
        <v>435</v>
      </c>
      <c r="C117" s="168" t="n">
        <f aca="false">(C41*INDEX(B4_EffIn,1,1)+C42*INDEX(B4_EffCache,1,1)+C43*INDEX(B4_EffOut,1,1))/1000000</f>
        <v>0.000328</v>
      </c>
      <c r="D117" s="168" t="n">
        <f aca="false">(D41*INDEX(B4_EffIn,1,1)+D42*INDEX(B4_EffCache,1,1)+D43*INDEX(B4_EffOut,1,1))/1000000</f>
        <v>0.001608</v>
      </c>
      <c r="E117" s="168" t="n">
        <f aca="false">(E41*INDEX(B4_EffIn,1,1)+E42*INDEX(B4_EffCache,1,1)+E43*INDEX(B4_EffOut,1,1))/1000000</f>
        <v>0.00165408</v>
      </c>
      <c r="F117" s="168" t="n">
        <f aca="false">(F41*INDEX(B4_EffIn,1,1)+F42*INDEX(B4_EffCache,1,1)+F43*INDEX(B4_EffOut,1,1))/1000000</f>
        <v>0.00661632</v>
      </c>
      <c r="G117" s="16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2064</v>
      </c>
      <c r="B118" s="61" t="s">
        <v>435</v>
      </c>
      <c r="C118" s="168" t="n">
        <f aca="false">(C35*INDEX(B4_EffIn,1,1)+C36*INDEX(B4_EffCache,1,1)+C37*INDEX(B4_EffOut,1,1))/1000000</f>
        <v>0.000328</v>
      </c>
      <c r="D118" s="168" t="n">
        <f aca="false">(D35*INDEX(B4_EffIn,1,1)+D36*INDEX(B4_EffCache,1,1)+D37*INDEX(B4_EffOut,1,1))/1000000</f>
        <v>0.001608</v>
      </c>
      <c r="E118" s="168" t="n">
        <f aca="false">(E35*INDEX(B4_EffIn,1,1)+E36*INDEX(B4_EffCache,1,1)+E37*INDEX(B4_EffOut,1,1))/1000000</f>
        <v>0.001024998016</v>
      </c>
      <c r="F118" s="168" t="n">
        <f aca="false">(F35*INDEX(B4_EffIn,1,1)+F36*INDEX(B4_EffCache,1,1)+F37*INDEX(B4_EffOut,1,1))/1000000</f>
        <v>0.004099992064</v>
      </c>
      <c r="G118" s="16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2065</v>
      </c>
      <c r="B119" s="61" t="s">
        <v>435</v>
      </c>
      <c r="C119" s="168" t="n">
        <f aca="false">(C18*INDEX(B4_EffIn,1,2)+C19*INDEX(B4_EffCache,1,2)+C20*INDEX(B4_EffOut,1,2))/1000000</f>
        <v>0.00656</v>
      </c>
      <c r="D119" s="168" t="n">
        <f aca="false">(D18*INDEX(B4_EffIn,1,2)+D19*INDEX(B4_EffCache,1,2)+D20*INDEX(B4_EffOut,1,2))/1000000</f>
        <v>0.03216</v>
      </c>
      <c r="E119" s="168" t="n">
        <f aca="false">(E18*INDEX(B4_EffIn,1,2)+E19*INDEX(B4_EffCache,1,2)+E20*INDEX(B4_EffOut,1,2))/1000000</f>
        <v>0.0330816</v>
      </c>
      <c r="F119" s="168" t="n">
        <f aca="false">(F18*INDEX(B4_EffIn,1,2)+F19*INDEX(B4_EffCache,1,2)+F20*INDEX(B4_EffOut,1,2))/1000000</f>
        <v>0.1323264</v>
      </c>
      <c r="G119" s="16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2066</v>
      </c>
      <c r="B120" s="61" t="s">
        <v>435</v>
      </c>
      <c r="C120" s="168" t="n">
        <f aca="false">(C41*INDEX(B4_EffIn,1,2)+C42*INDEX(B4_EffCache,1,2)+C43*INDEX(B4_EffOut,1,2))/1000000</f>
        <v>0.00656</v>
      </c>
      <c r="D120" s="168" t="n">
        <f aca="false">(D41*INDEX(B4_EffIn,1,2)+D42*INDEX(B4_EffCache,1,2)+D43*INDEX(B4_EffOut,1,2))/1000000</f>
        <v>0.03216</v>
      </c>
      <c r="E120" s="168" t="n">
        <f aca="false">(E41*INDEX(B4_EffIn,1,2)+E42*INDEX(B4_EffCache,1,2)+E43*INDEX(B4_EffOut,1,2))/1000000</f>
        <v>0.0330816</v>
      </c>
      <c r="F120" s="168" t="n">
        <f aca="false">(F41*INDEX(B4_EffIn,1,2)+F42*INDEX(B4_EffCache,1,2)+F43*INDEX(B4_EffOut,1,2))/1000000</f>
        <v>0.1323264</v>
      </c>
      <c r="G120" s="16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2067</v>
      </c>
      <c r="B121" s="61" t="s">
        <v>435</v>
      </c>
      <c r="C121" s="168" t="n">
        <f aca="false">(C35*INDEX(B4_EffIn,1,2)+C36*INDEX(B4_EffCache,1,2)+C37*INDEX(B4_EffOut,1,2))/1000000</f>
        <v>0.00656</v>
      </c>
      <c r="D121" s="168" t="n">
        <f aca="false">(D35*INDEX(B4_EffIn,1,2)+D36*INDEX(B4_EffCache,1,2)+D37*INDEX(B4_EffOut,1,2))/1000000</f>
        <v>0.03216</v>
      </c>
      <c r="E121" s="168" t="n">
        <f aca="false">(E35*INDEX(B4_EffIn,1,2)+E36*INDEX(B4_EffCache,1,2)+E37*INDEX(B4_EffOut,1,2))/1000000</f>
        <v>0.02049996032</v>
      </c>
      <c r="F121" s="168" t="n">
        <f aca="false">(F35*INDEX(B4_EffIn,1,2)+F36*INDEX(B4_EffCache,1,2)+F37*INDEX(B4_EffOut,1,2))/1000000</f>
        <v>0.08199984128</v>
      </c>
      <c r="G121" s="16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2068</v>
      </c>
      <c r="B122" s="61" t="s">
        <v>435</v>
      </c>
      <c r="C122" s="168" t="n">
        <f aca="false">(C18*INDEX(B4_EffIn,1,3)+C19*INDEX(B4_EffCache,1,3)+C20*INDEX(B4_EffOut,1,3))/1000000</f>
        <v>0.0328</v>
      </c>
      <c r="D122" s="168" t="n">
        <f aca="false">(D18*INDEX(B4_EffIn,1,3)+D19*INDEX(B4_EffCache,1,3)+D20*INDEX(B4_EffOut,1,3))/1000000</f>
        <v>0.1608</v>
      </c>
      <c r="E122" s="168" t="n">
        <f aca="false">(E18*INDEX(B4_EffIn,1,3)+E19*INDEX(B4_EffCache,1,3)+E20*INDEX(B4_EffOut,1,3))/1000000</f>
        <v>0.165408</v>
      </c>
      <c r="F122" s="168" t="n">
        <f aca="false">(F18*INDEX(B4_EffIn,1,3)+F19*INDEX(B4_EffCache,1,3)+F20*INDEX(B4_EffOut,1,3))/1000000</f>
        <v>0.661632</v>
      </c>
      <c r="G122" s="16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2069</v>
      </c>
      <c r="B123" s="61" t="s">
        <v>435</v>
      </c>
      <c r="C123" s="168" t="n">
        <f aca="false">(C41*INDEX(B4_EffIn,1,3)+C42*INDEX(B4_EffCache,1,3)+C43*INDEX(B4_EffOut,1,3))/1000000</f>
        <v>0.0328</v>
      </c>
      <c r="D123" s="168" t="n">
        <f aca="false">(D41*INDEX(B4_EffIn,1,3)+D42*INDEX(B4_EffCache,1,3)+D43*INDEX(B4_EffOut,1,3))/1000000</f>
        <v>0.1608</v>
      </c>
      <c r="E123" s="168" t="n">
        <f aca="false">(E41*INDEX(B4_EffIn,1,3)+E42*INDEX(B4_EffCache,1,3)+E43*INDEX(B4_EffOut,1,3))/1000000</f>
        <v>0.165408</v>
      </c>
      <c r="F123" s="168" t="n">
        <f aca="false">(F41*INDEX(B4_EffIn,1,3)+F42*INDEX(B4_EffCache,1,3)+F43*INDEX(B4_EffOut,1,3))/1000000</f>
        <v>0.661632</v>
      </c>
      <c r="G123" s="16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2070</v>
      </c>
      <c r="B124" s="61" t="s">
        <v>435</v>
      </c>
      <c r="C124" s="168" t="n">
        <f aca="false">(C35*INDEX(B4_EffIn,1,3)+C36*INDEX(B4_EffCache,1,3)+C37*INDEX(B4_EffOut,1,3))/1000000</f>
        <v>0.0328</v>
      </c>
      <c r="D124" s="168" t="n">
        <f aca="false">(D35*INDEX(B4_EffIn,1,3)+D36*INDEX(B4_EffCache,1,3)+D37*INDEX(B4_EffOut,1,3))/1000000</f>
        <v>0.1608</v>
      </c>
      <c r="E124" s="168" t="n">
        <f aca="false">(E35*INDEX(B4_EffIn,1,3)+E36*INDEX(B4_EffCache,1,3)+E37*INDEX(B4_EffOut,1,3))/1000000</f>
        <v>0.1024998016</v>
      </c>
      <c r="F124" s="168" t="n">
        <f aca="false">(F35*INDEX(B4_EffIn,1,3)+F36*INDEX(B4_EffCache,1,3)+F37*INDEX(B4_EffOut,1,3))/1000000</f>
        <v>0.4099992064</v>
      </c>
      <c r="G124" s="16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2071</v>
      </c>
      <c r="B125" s="61" t="s">
        <v>435</v>
      </c>
      <c r="C125" s="168" t="n">
        <f aca="false">IF(C56&gt;0,C116/C56,0)</f>
        <v>0.000340869980715914</v>
      </c>
      <c r="D125" s="168" t="n">
        <f aca="false">IF(D56&gt;0,D116/D56,0)</f>
        <v>0.00181896849275965</v>
      </c>
      <c r="E125" s="168" t="n">
        <f aca="false">IF(E56&gt;0,E116/E56,0)</f>
        <v>0.00237971056778149</v>
      </c>
      <c r="F125" s="168" t="n">
        <f aca="false">IF(F56&gt;0,F116/F56,0)</f>
        <v>0.0148258927218325</v>
      </c>
      <c r="G125" s="168" t="n">
        <f aca="false">IF(G56&gt;0,G116/G56,0)</f>
        <v>0.171997108568582</v>
      </c>
    </row>
    <row r="126" customFormat="false" ht="15" hidden="false" customHeight="false" outlineLevel="0" collapsed="false">
      <c r="A126" s="5" t="s">
        <v>2072</v>
      </c>
      <c r="B126" s="61" t="s">
        <v>435</v>
      </c>
      <c r="C126" s="168" t="n">
        <f aca="false">IF(C57&gt;0,C117/C57,0)</f>
        <v>0.000340869980715914</v>
      </c>
      <c r="D126" s="168" t="n">
        <f aca="false">IF(D57&gt;0,D117/D57,0)</f>
        <v>0.00181896849275965</v>
      </c>
      <c r="E126" s="168" t="n">
        <f aca="false">IF(E57&gt;0,E117/E57,0)</f>
        <v>0.00237971056778149</v>
      </c>
      <c r="F126" s="168" t="n">
        <f aca="false">IF(F57&gt;0,F117/F57,0)</f>
        <v>0.0148258927218325</v>
      </c>
      <c r="G126" s="168" t="n">
        <f aca="false">IF(G57&gt;0,G117/G57,0)</f>
        <v>0.171997108568582</v>
      </c>
    </row>
    <row r="127" customFormat="false" ht="15" hidden="false" customHeight="false" outlineLevel="0" collapsed="false">
      <c r="A127" s="5" t="s">
        <v>2073</v>
      </c>
      <c r="B127" s="61" t="s">
        <v>435</v>
      </c>
      <c r="C127" s="168" t="n">
        <f aca="false">IF(C58&gt;0,C118/C58,0)</f>
        <v>0.000340869980715914</v>
      </c>
      <c r="D127" s="168" t="n">
        <f aca="false">IF(D58&gt;0,D118/D58,0)</f>
        <v>0.00181896849275965</v>
      </c>
      <c r="E127" s="168" t="n">
        <f aca="false">IF(E58&gt;0,E118/E58,0)</f>
        <v>0.00141718768484371</v>
      </c>
      <c r="F127" s="168" t="n">
        <f aca="false">IF(F58&gt;0,F118/F58,0)</f>
        <v>0.00712491678942907</v>
      </c>
      <c r="G127" s="168" t="n">
        <f aca="false">IF(G58&gt;0,G118/G58,0)</f>
        <v>0.0648763004524294</v>
      </c>
    </row>
    <row r="128" customFormat="false" ht="15" hidden="false" customHeight="false" outlineLevel="0" collapsed="false">
      <c r="A128" s="5" t="s">
        <v>2074</v>
      </c>
      <c r="B128" s="61" t="s">
        <v>435</v>
      </c>
      <c r="C128" s="168" t="n">
        <f aca="false">IF(C59&gt;0,C119/C59,0)</f>
        <v>0.00663334302966199</v>
      </c>
      <c r="D128" s="168" t="n">
        <f aca="false">IF(D59&gt;0,D119/D59,0)</f>
        <v>0.0333622604201019</v>
      </c>
      <c r="E128" s="168" t="n">
        <f aca="false">IF(E59&gt;0,E119/E59,0)</f>
        <v>0.0372168</v>
      </c>
      <c r="F128" s="168" t="n">
        <f aca="false">IF(F59&gt;0,F119/F59,0)</f>
        <v>0.179110847385002</v>
      </c>
      <c r="G128" s="168" t="n">
        <f aca="false">IF(G59&gt;0,G119/G59,0)</f>
        <v>1.525632</v>
      </c>
    </row>
    <row r="129" customFormat="false" ht="15" hidden="false" customHeight="false" outlineLevel="0" collapsed="false">
      <c r="A129" s="5" t="s">
        <v>2075</v>
      </c>
      <c r="B129" s="61" t="s">
        <v>435</v>
      </c>
      <c r="C129" s="168" t="n">
        <f aca="false">IF(C60&gt;0,C120/C60,0)</f>
        <v>0.00663334302966199</v>
      </c>
      <c r="D129" s="168" t="n">
        <f aca="false">IF(D60&gt;0,D120/D60,0)</f>
        <v>0.0333622604201019</v>
      </c>
      <c r="E129" s="168" t="n">
        <f aca="false">IF(E60&gt;0,E120/E60,0)</f>
        <v>0.0372168</v>
      </c>
      <c r="F129" s="168" t="n">
        <f aca="false">IF(F60&gt;0,F120/F60,0)</f>
        <v>0.179110847385002</v>
      </c>
      <c r="G129" s="168" t="n">
        <f aca="false">IF(G60&gt;0,G120/G60,0)</f>
        <v>1.525632</v>
      </c>
    </row>
    <row r="130" customFormat="false" ht="15" hidden="false" customHeight="false" outlineLevel="0" collapsed="false">
      <c r="A130" s="5" t="s">
        <v>2076</v>
      </c>
      <c r="B130" s="61" t="s">
        <v>435</v>
      </c>
      <c r="C130" s="168" t="n">
        <f aca="false">IF(C61&gt;0,C121/C61,0)</f>
        <v>0.00663334302966199</v>
      </c>
      <c r="D130" s="168" t="n">
        <f aca="false">IF(D61&gt;0,D121/D61,0)</f>
        <v>0.0333622604201019</v>
      </c>
      <c r="E130" s="168" t="n">
        <f aca="false">IF(E61&gt;0,E121/E61,0)</f>
        <v>0.022734958114485</v>
      </c>
      <c r="F130" s="168" t="n">
        <f aca="false">IF(F61&gt;0,F121/F61,0)</f>
        <v>0.0992381844259314</v>
      </c>
      <c r="G130" s="168" t="n">
        <f aca="false">IF(G61&gt;0,G121/G61,0)</f>
        <v>0.670290712417705</v>
      </c>
    </row>
    <row r="131" customFormat="false" ht="15" hidden="false" customHeight="false" outlineLevel="0" collapsed="false">
      <c r="A131" s="5" t="s">
        <v>2077</v>
      </c>
      <c r="B131" s="61" t="s">
        <v>435</v>
      </c>
      <c r="C131" s="168" t="n">
        <f aca="false">IF(C62&gt;0,C122/C62,0)</f>
        <v>0.0330180501317747</v>
      </c>
      <c r="D131" s="168" t="n">
        <f aca="false">IF(D62&gt;0,D122/D62,0)</f>
        <v>0.164374341614178</v>
      </c>
      <c r="E131" s="168" t="n">
        <f aca="false">IF(E62&gt;0,E122/E62,0)</f>
        <v>0.177702023154898</v>
      </c>
      <c r="F131" s="168" t="n">
        <f aca="false">IF(F62&gt;0,F122/F62,0)</f>
        <v>0.800722994254286</v>
      </c>
      <c r="G131" s="168" t="n">
        <f aca="false">IF(G62&gt;0,G122/G62,0)</f>
        <v>6.08194553659479</v>
      </c>
    </row>
    <row r="132" customFormat="false" ht="15" hidden="false" customHeight="false" outlineLevel="0" collapsed="false">
      <c r="A132" s="5" t="s">
        <v>2078</v>
      </c>
      <c r="B132" s="61" t="s">
        <v>435</v>
      </c>
      <c r="C132" s="168" t="n">
        <f aca="false">IF(C63&gt;0,C123/C63,0)</f>
        <v>0.0330180501317747</v>
      </c>
      <c r="D132" s="168" t="n">
        <f aca="false">IF(D63&gt;0,D123/D63,0)</f>
        <v>0.164374341614178</v>
      </c>
      <c r="E132" s="168" t="n">
        <f aca="false">IF(E63&gt;0,E123/E63,0)</f>
        <v>0.177702023154898</v>
      </c>
      <c r="F132" s="168" t="n">
        <f aca="false">IF(F63&gt;0,F123/F63,0)</f>
        <v>0.800722994254286</v>
      </c>
      <c r="G132" s="168" t="n">
        <f aca="false">IF(G63&gt;0,G123/G63,0)</f>
        <v>6.08194553659479</v>
      </c>
    </row>
    <row r="133" customFormat="false" ht="15" hidden="false" customHeight="false" outlineLevel="0" collapsed="false">
      <c r="A133" s="5" t="s">
        <v>2079</v>
      </c>
      <c r="B133" s="61" t="s">
        <v>435</v>
      </c>
      <c r="C133" s="168" t="n">
        <f aca="false">IF(C64&gt;0,C124/C64,0)</f>
        <v>0.0330180501317747</v>
      </c>
      <c r="D133" s="168" t="n">
        <f aca="false">IF(D64&gt;0,D124/D64,0)</f>
        <v>0.164374341614178</v>
      </c>
      <c r="E133" s="168" t="n">
        <f aca="false">IF(E64&gt;0,E124/E64,0)</f>
        <v>0.109144489798042</v>
      </c>
      <c r="F133" s="168" t="n">
        <f aca="false">IF(F64&gt;0,F124/F64,0)</f>
        <v>0.4612491072</v>
      </c>
      <c r="G133" s="168" t="n">
        <f aca="false">IF(G64&gt;0,G124/G64,0)</f>
        <v>2.84482704872992</v>
      </c>
    </row>
    <row r="135" customFormat="false" ht="15" hidden="false" customHeight="false" outlineLevel="0" collapsed="false">
      <c r="A135" s="75" t="s">
        <v>2080</v>
      </c>
      <c r="B135" s="69"/>
      <c r="C135" s="69"/>
      <c r="D135" s="69"/>
      <c r="E135" s="69"/>
      <c r="F135" s="69"/>
      <c r="G135" s="69"/>
      <c r="H135" s="69"/>
    </row>
    <row r="136" customFormat="false" ht="15" hidden="false" customHeight="false" outlineLevel="0" collapsed="false">
      <c r="A136" s="6" t="s">
        <v>2081</v>
      </c>
      <c r="B136" s="61" t="s">
        <v>103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0.590682621670942</v>
      </c>
      <c r="F136" s="104" t="n">
        <f aca="false">IF(AND(ISNUMBER(F89),ISNUMBER(F87)),F89/F87,"SLO 不可達")</f>
        <v>0.476661314845622</v>
      </c>
      <c r="G136" s="104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2082</v>
      </c>
      <c r="B137" s="61" t="s">
        <v>103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0.605351415659953</v>
      </c>
      <c r="F137" s="104" t="n">
        <f aca="false">IF(AND(ISNUMBER(F92),ISNUMBER(F90)),F92/F90,"SLO 不可達")</f>
        <v>0.549046786720249</v>
      </c>
      <c r="G137" s="104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2083</v>
      </c>
      <c r="B138" s="61" t="s">
        <v>103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0.60811339243541</v>
      </c>
      <c r="F138" s="104" t="n">
        <f aca="false">IF(AND(ISNUMBER(F95),ISNUMBER(F93)),F95/F93,"SLO 不可達")</f>
        <v>0.570332819404675</v>
      </c>
      <c r="G138" s="104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2084</v>
      </c>
      <c r="B139" s="61" t="s">
        <v>103</v>
      </c>
      <c r="C139" s="76" t="n">
        <f aca="false">IF(AND(ISNUMBER(C98),ISNUMBER(C96)),C98/C96,"SLO 不可達")</f>
        <v>1</v>
      </c>
      <c r="D139" s="76" t="n">
        <f aca="false">IF(AND(ISNUMBER(D98),ISNUMBER(D96)),D98/D96,"SLO 不可達")</f>
        <v>1</v>
      </c>
      <c r="E139" s="76" t="n">
        <f aca="false">IF(AND(ISNUMBER(E98),ISNUMBER(E96)),E98/E96,"SLO 不可達")</f>
        <v>0.589968481133866</v>
      </c>
      <c r="F139" s="76" t="n">
        <f aca="false">IF(AND(ISNUMBER(F98),ISNUMBER(F96)),F98/F96,"SLO 不可達")</f>
        <v>0.476085027081435</v>
      </c>
      <c r="G139" s="76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2085</v>
      </c>
      <c r="B140" s="61" t="s">
        <v>103</v>
      </c>
      <c r="C140" s="76" t="n">
        <f aca="false">IF(AND(ISNUMBER(C101),ISNUMBER(C99)),C101/C99,"SLO 不可達")</f>
        <v>1</v>
      </c>
      <c r="D140" s="76" t="n">
        <f aca="false">IF(AND(ISNUMBER(D101),ISNUMBER(D99)),D101/D99,"SLO 不可達")</f>
        <v>1</v>
      </c>
      <c r="E140" s="76" t="n">
        <f aca="false">IF(AND(ISNUMBER(E101),ISNUMBER(E99)),E101/E99,"SLO 不可達")</f>
        <v>0.604291892374929</v>
      </c>
      <c r="F140" s="76" t="n">
        <f aca="false">IF(AND(ISNUMBER(F101),ISNUMBER(F99)),F101/F99,"SLO 不可達")</f>
        <v>0.548085811260295</v>
      </c>
      <c r="G140" s="76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2086</v>
      </c>
      <c r="B141" s="61" t="s">
        <v>103</v>
      </c>
      <c r="C141" s="76" t="n">
        <f aca="false">IF(AND(ISNUMBER(C104),ISNUMBER(C102)),C104/C102,"SLO 不可達")</f>
        <v>1</v>
      </c>
      <c r="D141" s="76" t="n">
        <f aca="false">IF(AND(ISNUMBER(D104),ISNUMBER(D102)),D104/D102,"SLO 不可達")</f>
        <v>1</v>
      </c>
      <c r="E141" s="76" t="n">
        <f aca="false">IF(AND(ISNUMBER(E104),ISNUMBER(E102)),E104/E102,"SLO 不可達")</f>
        <v>0.605328887148494</v>
      </c>
      <c r="F141" s="76" t="n">
        <f aca="false">IF(AND(ISNUMBER(F104),ISNUMBER(F102)),F104/F102,"SLO 不可達")</f>
        <v>0.567721308507713</v>
      </c>
      <c r="G141" s="76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2087</v>
      </c>
      <c r="B142" s="61" t="s">
        <v>103</v>
      </c>
      <c r="C142" s="76" t="n">
        <f aca="false">C58/C56</f>
        <v>1</v>
      </c>
      <c r="D142" s="76" t="n">
        <f aca="false">D58/D56</f>
        <v>1</v>
      </c>
      <c r="E142" s="76" t="n">
        <f aca="false">E58/E56</f>
        <v>1.04055079118975</v>
      </c>
      <c r="F142" s="76" t="n">
        <f aca="false">F58/F56</f>
        <v>1.28945909848127</v>
      </c>
      <c r="G142" s="76" t="n">
        <f aca="false">G58/G56</f>
        <v>1.46091769390038</v>
      </c>
    </row>
    <row r="143" customFormat="false" ht="15" hidden="false" customHeight="false" outlineLevel="0" collapsed="false">
      <c r="A143" s="5" t="s">
        <v>2088</v>
      </c>
      <c r="B143" s="61" t="s">
        <v>103</v>
      </c>
      <c r="C143" s="76" t="n">
        <f aca="false">C61/C59</f>
        <v>1</v>
      </c>
      <c r="D143" s="76" t="n">
        <f aca="false">D61/D59</f>
        <v>1</v>
      </c>
      <c r="E143" s="76" t="n">
        <f aca="false">E61/E59</f>
        <v>1.01440500764795</v>
      </c>
      <c r="F143" s="76" t="n">
        <f aca="false">F61/F59</f>
        <v>1.11843202124979</v>
      </c>
      <c r="G143" s="76" t="n">
        <f aca="false">G61/G59</f>
        <v>1.25423023835082</v>
      </c>
    </row>
    <row r="144" customFormat="false" ht="15" hidden="false" customHeight="false" outlineLevel="0" collapsed="false">
      <c r="A144" s="5" t="s">
        <v>2089</v>
      </c>
      <c r="B144" s="61" t="s">
        <v>103</v>
      </c>
      <c r="C144" s="76" t="n">
        <f aca="false">C64/C62</f>
        <v>1</v>
      </c>
      <c r="D144" s="76" t="n">
        <f aca="false">D64/D62</f>
        <v>1</v>
      </c>
      <c r="E144" s="76" t="n">
        <f aca="false">E64/E62</f>
        <v>1.00892079057841</v>
      </c>
      <c r="F144" s="76" t="n">
        <f aca="false">F64/F62</f>
        <v>1.07575475894527</v>
      </c>
      <c r="G144" s="76" t="n">
        <f aca="false">G64/G62</f>
        <v>1.17808692925104</v>
      </c>
    </row>
    <row r="146" customFormat="false" ht="15" hidden="false" customHeight="false" outlineLevel="0" collapsed="false">
      <c r="A146" s="75" t="s">
        <v>2090</v>
      </c>
      <c r="B146" s="69"/>
      <c r="C146" s="69"/>
      <c r="D146" s="69"/>
      <c r="E146" s="69"/>
      <c r="F146" s="69"/>
      <c r="G146" s="69"/>
      <c r="H146" s="69"/>
    </row>
    <row r="147" customFormat="false" ht="15" hidden="false" customHeight="false" outlineLevel="0" collapsed="false">
      <c r="A147" s="5" t="s">
        <v>2091</v>
      </c>
      <c r="B147" s="61" t="s">
        <v>435</v>
      </c>
      <c r="C147" s="168" t="n">
        <f aca="false">MIN(C87,C90,C93,C89,C92,C95)</f>
        <v>0.000102418941208421</v>
      </c>
      <c r="D147" s="168" t="n">
        <f aca="false">MIN(D87,D90,D93,D89,D92,D95)</f>
        <v>0.000736788526866689</v>
      </c>
      <c r="E147" s="168" t="n">
        <f aca="false">MIN(E87,E90,E93,E89,E92,E95)</f>
        <v>0.000400399903202603</v>
      </c>
      <c r="F147" s="168" t="n">
        <f aca="false">MIN(F87,F90,F93,F89,F92,F95)</f>
        <v>0.00201301212487506</v>
      </c>
      <c r="G147" s="168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2092</v>
      </c>
      <c r="B148" s="60"/>
      <c r="C148" s="60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0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0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0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0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2093</v>
      </c>
      <c r="B149" s="61" t="s">
        <v>435</v>
      </c>
      <c r="C149" s="168" t="n">
        <f aca="false">MIN(C96,C99,C102,C98,C101,C104)</f>
        <v>0.000134816391831662</v>
      </c>
      <c r="D149" s="168" t="n">
        <f aca="false">MIN(D96,D99,D102,D98,D101,D104)</f>
        <v>0.000976510141922234</v>
      </c>
      <c r="E149" s="168" t="n">
        <f aca="false">MIN(E96,E99,E102,E98,E101,E104)</f>
        <v>0.000525988799905916</v>
      </c>
      <c r="F149" s="168" t="n">
        <f aca="false">MIN(F96,F99,F102,F98,F101,F104)</f>
        <v>0.00264441080851941</v>
      </c>
      <c r="G149" s="168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2094</v>
      </c>
      <c r="B150" s="60"/>
      <c r="C150" s="60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0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0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0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0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2095</v>
      </c>
      <c r="B151" s="61" t="s">
        <v>435</v>
      </c>
      <c r="C151" s="16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6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6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6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6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2096</v>
      </c>
      <c r="B152" s="60"/>
      <c r="C152" s="113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3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3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3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3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2097</v>
      </c>
      <c r="B153" s="61" t="s">
        <v>99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2098</v>
      </c>
      <c r="B154" s="61" t="s">
        <v>435</v>
      </c>
      <c r="C154" s="16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6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6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6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6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2099</v>
      </c>
      <c r="B155" s="60"/>
      <c r="C155" s="113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3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3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3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3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2100</v>
      </c>
      <c r="B156" s="61" t="s">
        <v>99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3" t="s">
        <v>2101</v>
      </c>
    </row>
    <row r="159" customFormat="false" ht="15" hidden="false" customHeight="false" outlineLevel="0" collapsed="false">
      <c r="A159" s="75" t="s">
        <v>2102</v>
      </c>
      <c r="B159" s="69"/>
      <c r="C159" s="69"/>
      <c r="D159" s="69"/>
      <c r="E159" s="69"/>
      <c r="F159" s="69"/>
      <c r="G159" s="69"/>
      <c r="H159" s="69"/>
    </row>
    <row r="160" customFormat="false" ht="15" hidden="false" customHeight="false" outlineLevel="0" collapsed="false">
      <c r="A160" s="5" t="s">
        <v>2103</v>
      </c>
      <c r="B160" s="61" t="s">
        <v>1163</v>
      </c>
      <c r="C160" s="76" t="n">
        <f aca="false">INDEX(B5_H50,1,1)*C52</f>
        <v>1.5</v>
      </c>
      <c r="D160" s="76" t="n">
        <f aca="false">INDEX(B5_H50,1,1)*D52</f>
        <v>1.5</v>
      </c>
      <c r="E160" s="76" t="n">
        <f aca="false">INDEX(B5_H50,1,1)*E52</f>
        <v>1.5</v>
      </c>
      <c r="F160" s="76" t="n">
        <f aca="false">INDEX(B5_H50,1,1)*F52</f>
        <v>1.5</v>
      </c>
      <c r="G160" s="76" t="n">
        <f aca="false">INDEX(B5_H50,1,1)*G52</f>
        <v>1.5</v>
      </c>
    </row>
    <row r="161" customFormat="false" ht="15" hidden="false" customHeight="false" outlineLevel="0" collapsed="false">
      <c r="A161" s="5" t="s">
        <v>2104</v>
      </c>
      <c r="B161" s="61" t="s">
        <v>1163</v>
      </c>
      <c r="C161" s="76" t="n">
        <f aca="false">INDEX(B5_H50,1,2)*C52</f>
        <v>8</v>
      </c>
      <c r="D161" s="76" t="n">
        <f aca="false">INDEX(B5_H50,1,2)*D52</f>
        <v>8</v>
      </c>
      <c r="E161" s="76" t="n">
        <f aca="false">INDEX(B5_H50,1,2)*E52</f>
        <v>8</v>
      </c>
      <c r="F161" s="76" t="n">
        <f aca="false">INDEX(B5_H50,1,2)*F52</f>
        <v>8</v>
      </c>
      <c r="G161" s="76" t="n">
        <f aca="false">INDEX(B5_H50,1,2)*G52</f>
        <v>8</v>
      </c>
    </row>
    <row r="162" customFormat="false" ht="15" hidden="false" customHeight="false" outlineLevel="0" collapsed="false">
      <c r="A162" s="5" t="s">
        <v>2105</v>
      </c>
      <c r="B162" s="61" t="s">
        <v>1163</v>
      </c>
      <c r="C162" s="76" t="n">
        <f aca="false">INDEX(B5_H50,1,3)*C52</f>
        <v>16</v>
      </c>
      <c r="D162" s="76" t="n">
        <f aca="false">INDEX(B5_H50,1,3)*D52</f>
        <v>16</v>
      </c>
      <c r="E162" s="76" t="n">
        <f aca="false">INDEX(B5_H50,1,3)*E52</f>
        <v>16</v>
      </c>
      <c r="F162" s="76" t="n">
        <f aca="false">INDEX(B5_H50,1,3)*F52</f>
        <v>16</v>
      </c>
      <c r="G162" s="76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7" t="s">
        <v>2106</v>
      </c>
    </row>
    <row r="2" customFormat="false" ht="15" hidden="false" customHeight="false" outlineLevel="0" collapsed="false">
      <c r="A2" s="73" t="s">
        <v>2107</v>
      </c>
    </row>
    <row r="4" customFormat="false" ht="42" hidden="false" customHeight="true" outlineLevel="0" collapsed="false">
      <c r="A4" s="59" t="s">
        <v>829</v>
      </c>
      <c r="C4" s="83" t="s">
        <v>85</v>
      </c>
      <c r="D4" s="83" t="s">
        <v>2108</v>
      </c>
      <c r="E4" s="83" t="s">
        <v>2109</v>
      </c>
      <c r="F4" s="83" t="s">
        <v>2110</v>
      </c>
      <c r="G4" s="83" t="s">
        <v>2111</v>
      </c>
      <c r="H4" s="83" t="s">
        <v>2112</v>
      </c>
      <c r="I4" s="83" t="s">
        <v>2113</v>
      </c>
      <c r="J4" s="83" t="s">
        <v>2114</v>
      </c>
      <c r="K4" s="83" t="s">
        <v>2115</v>
      </c>
      <c r="L4" s="83" t="s">
        <v>2116</v>
      </c>
      <c r="M4" s="83" t="s">
        <v>2117</v>
      </c>
      <c r="N4" s="83" t="s">
        <v>2118</v>
      </c>
      <c r="O4" s="83" t="s">
        <v>2119</v>
      </c>
      <c r="P4" s="84" t="s">
        <v>2120</v>
      </c>
      <c r="Q4" s="84" t="s">
        <v>2121</v>
      </c>
      <c r="R4" s="84" t="s">
        <v>2122</v>
      </c>
      <c r="S4" s="84" t="s">
        <v>2123</v>
      </c>
    </row>
    <row r="5" customFormat="false" ht="15" hidden="false" customHeight="false" outlineLevel="0" collapsed="false">
      <c r="A5" s="60" t="s">
        <v>1923</v>
      </c>
      <c r="C5" s="76" t="n">
        <f aca="false">INDEX(B5_SelT,1,5)</f>
        <v>0.7</v>
      </c>
      <c r="D5" s="97" t="n">
        <f aca="false">Har_In!$C$61</f>
        <v>0.7</v>
      </c>
      <c r="E5" s="97" t="n">
        <f aca="false">Har_In!$D$61</f>
        <v>1.7</v>
      </c>
      <c r="F5" s="76" t="n">
        <f aca="false">INDEX(B5_SelT,1,5)</f>
        <v>0.7</v>
      </c>
      <c r="G5" s="76" t="n">
        <f aca="false">INDEX(B5_SelT,1,5)</f>
        <v>0.7</v>
      </c>
      <c r="H5" s="76" t="n">
        <f aca="false">INDEX(B5_SelT,1,5)</f>
        <v>0.7</v>
      </c>
      <c r="I5" s="76" t="n">
        <f aca="false">INDEX(B5_SelT,1,5)</f>
        <v>0.7</v>
      </c>
      <c r="J5" s="76" t="n">
        <f aca="false">INDEX(B5_SelT,1,5)</f>
        <v>0.7</v>
      </c>
      <c r="K5" s="76" t="n">
        <f aca="false">INDEX(B5_SelT,1,5)</f>
        <v>0.7</v>
      </c>
      <c r="L5" s="76" t="n">
        <f aca="false">INDEX(B5_SelT,1,5)</f>
        <v>0.7</v>
      </c>
      <c r="M5" s="76" t="n">
        <f aca="false">INDEX(B5_SelT,1,5)</f>
        <v>0.7</v>
      </c>
      <c r="N5" s="76" t="n">
        <f aca="false">INDEX(B5_SelT,1,5)</f>
        <v>0.7</v>
      </c>
      <c r="O5" s="76" t="n">
        <f aca="false">INDEX(B5_SelT,1,5)</f>
        <v>0.7</v>
      </c>
      <c r="P5" s="76" t="n">
        <f aca="false">INDEX(B5_SelT,1,5)</f>
        <v>0.7</v>
      </c>
      <c r="Q5" s="76" t="n">
        <f aca="false">INDEX(B5_SelT,1,5)</f>
        <v>0.7</v>
      </c>
      <c r="R5" s="76" t="n">
        <f aca="false">INDEX(B5_SelT,1,5)</f>
        <v>0.7</v>
      </c>
      <c r="S5" s="76" t="n">
        <f aca="false">INDEX(B5_SelT,1,5)</f>
        <v>0.7</v>
      </c>
    </row>
    <row r="6" customFormat="false" ht="15" hidden="false" customHeight="false" outlineLevel="0" collapsed="false">
      <c r="A6" s="60" t="s">
        <v>1928</v>
      </c>
      <c r="C6" s="76" t="n">
        <f aca="false">INDEX(B5_SelH,1,5)</f>
        <v>0.8</v>
      </c>
      <c r="D6" s="76" t="n">
        <f aca="false">INDEX(B5_SelH,1,5)</f>
        <v>0.8</v>
      </c>
      <c r="E6" s="76" t="n">
        <f aca="false">INDEX(B5_SelH,1,5)</f>
        <v>0.8</v>
      </c>
      <c r="F6" s="97" t="n">
        <f aca="false">Har_In!$C$62</f>
        <v>0.6</v>
      </c>
      <c r="G6" s="97" t="n">
        <f aca="false">Har_In!$D$62</f>
        <v>1</v>
      </c>
      <c r="H6" s="76" t="n">
        <f aca="false">INDEX(B5_SelH,1,5)</f>
        <v>0.8</v>
      </c>
      <c r="I6" s="76" t="n">
        <f aca="false">INDEX(B5_SelH,1,5)</f>
        <v>0.8</v>
      </c>
      <c r="J6" s="76" t="n">
        <f aca="false">INDEX(B5_SelH,1,5)</f>
        <v>0.8</v>
      </c>
      <c r="K6" s="76" t="n">
        <f aca="false">INDEX(B5_SelH,1,5)</f>
        <v>0.8</v>
      </c>
      <c r="L6" s="76" t="n">
        <f aca="false">INDEX(B5_SelH,1,5)</f>
        <v>0.8</v>
      </c>
      <c r="M6" s="76" t="n">
        <f aca="false">INDEX(B5_SelH,1,5)</f>
        <v>0.8</v>
      </c>
      <c r="N6" s="76" t="n">
        <f aca="false">INDEX(B5_SelH,1,5)</f>
        <v>0.8</v>
      </c>
      <c r="O6" s="76" t="n">
        <f aca="false">INDEX(B5_SelH,1,5)</f>
        <v>0.8</v>
      </c>
      <c r="P6" s="76" t="n">
        <f aca="false">INDEX(B5_SelH,1,5)</f>
        <v>0.8</v>
      </c>
      <c r="Q6" s="76" t="n">
        <f aca="false">INDEX(B5_SelH,1,5)</f>
        <v>0.8</v>
      </c>
      <c r="R6" s="76" t="n">
        <f aca="false">INDEX(B5_SelH,1,5)</f>
        <v>0.8</v>
      </c>
      <c r="S6" s="76" t="n">
        <f aca="false">INDEX(B5_SelH,1,5)</f>
        <v>0.8</v>
      </c>
    </row>
    <row r="7" customFormat="false" ht="15" hidden="false" customHeight="false" outlineLevel="0" collapsed="false">
      <c r="A7" s="60" t="s">
        <v>1925</v>
      </c>
      <c r="C7" s="85" t="n">
        <f aca="false">INDEX(B5_Selrho,1,5)</f>
        <v>1</v>
      </c>
      <c r="D7" s="85" t="n">
        <f aca="false">INDEX(B5_Selrho,1,5)</f>
        <v>1</v>
      </c>
      <c r="E7" s="85" t="n">
        <f aca="false">INDEX(B5_Selrho,1,5)</f>
        <v>1</v>
      </c>
      <c r="F7" s="85" t="n">
        <f aca="false">INDEX(B5_Selrho,1,5)</f>
        <v>1</v>
      </c>
      <c r="G7" s="85" t="n">
        <f aca="false">INDEX(B5_Selrho,1,5)</f>
        <v>1</v>
      </c>
      <c r="H7" s="64" t="n">
        <f aca="false">Har_In!$C$63</f>
        <v>0.5</v>
      </c>
      <c r="I7" s="64" t="n">
        <f aca="false">Har_In!$D$63</f>
        <v>1</v>
      </c>
      <c r="J7" s="85" t="n">
        <f aca="false">INDEX(B5_Selrho,1,5)</f>
        <v>1</v>
      </c>
      <c r="K7" s="85" t="n">
        <f aca="false">INDEX(B5_Selrho,1,5)</f>
        <v>1</v>
      </c>
      <c r="L7" s="85" t="n">
        <f aca="false">INDEX(B5_Selrho,1,5)</f>
        <v>1</v>
      </c>
      <c r="M7" s="85" t="n">
        <f aca="false">INDEX(B5_Selrho,1,5)</f>
        <v>1</v>
      </c>
      <c r="N7" s="85" t="n">
        <f aca="false">INDEX(B5_Selrho,1,5)</f>
        <v>1</v>
      </c>
      <c r="O7" s="85" t="n">
        <f aca="false">INDEX(B5_Selrho,1,5)</f>
        <v>1</v>
      </c>
      <c r="P7" s="85" t="n">
        <f aca="false">INDEX(B5_Selrho,1,5)</f>
        <v>1</v>
      </c>
      <c r="Q7" s="85" t="n">
        <f aca="false">INDEX(B5_Selrho,1,5)</f>
        <v>1</v>
      </c>
      <c r="R7" s="85" t="n">
        <f aca="false">INDEX(B5_Selrho,1,5)</f>
        <v>1</v>
      </c>
      <c r="S7" s="85" t="n">
        <f aca="false">INDEX(B5_Selrho,1,5)</f>
        <v>1</v>
      </c>
    </row>
    <row r="8" customFormat="false" ht="15" hidden="false" customHeight="false" outlineLevel="0" collapsed="false">
      <c r="A8" s="60" t="s">
        <v>1968</v>
      </c>
      <c r="C8" s="76" t="n">
        <f aca="false">INDEX(B5_SelC,1,5)</f>
        <v>0.7</v>
      </c>
      <c r="D8" s="76" t="n">
        <f aca="false">INDEX(B5_SelC,1,5)</f>
        <v>0.7</v>
      </c>
      <c r="E8" s="76" t="n">
        <f aca="false">INDEX(B5_SelC,1,5)</f>
        <v>0.7</v>
      </c>
      <c r="F8" s="76" t="n">
        <f aca="false">INDEX(B5_SelC,1,5)</f>
        <v>0.7</v>
      </c>
      <c r="G8" s="76" t="n">
        <f aca="false">INDEX(B5_SelC,1,5)</f>
        <v>0.7</v>
      </c>
      <c r="H8" s="76" t="n">
        <f aca="false">INDEX(B5_SelC,1,5)</f>
        <v>0.7</v>
      </c>
      <c r="I8" s="76" t="n">
        <f aca="false">INDEX(B5_SelC,1,5)</f>
        <v>0.7</v>
      </c>
      <c r="J8" s="97" t="n">
        <f aca="false">Har_In!$C$64</f>
        <v>0.5</v>
      </c>
      <c r="K8" s="97" t="n">
        <f aca="false">Har_In!$D$64</f>
        <v>1</v>
      </c>
      <c r="L8" s="76" t="n">
        <f aca="false">INDEX(B5_SelC,1,5)</f>
        <v>0.7</v>
      </c>
      <c r="M8" s="76" t="n">
        <f aca="false">INDEX(B5_SelC,1,5)</f>
        <v>0.7</v>
      </c>
      <c r="N8" s="76" t="n">
        <f aca="false">INDEX(B5_SelC,1,5)</f>
        <v>0.7</v>
      </c>
      <c r="O8" s="76" t="n">
        <f aca="false">INDEX(B5_SelC,1,5)</f>
        <v>0.7</v>
      </c>
      <c r="P8" s="76" t="n">
        <f aca="false">INDEX(B5_SelC,1,5)</f>
        <v>0.7</v>
      </c>
      <c r="Q8" s="76" t="n">
        <f aca="false">INDEX(B5_SelC,1,5)</f>
        <v>0.7</v>
      </c>
      <c r="R8" s="76" t="n">
        <f aca="false">INDEX(B5_SelC,1,5)</f>
        <v>0.7</v>
      </c>
      <c r="S8" s="76" t="n">
        <f aca="false">INDEX(B5_SelC,1,5)</f>
        <v>0.7</v>
      </c>
    </row>
    <row r="9" customFormat="false" ht="15" hidden="false" customHeight="false" outlineLevel="0" collapsed="false">
      <c r="A9" s="60" t="s">
        <v>2124</v>
      </c>
      <c r="C9" s="76" t="n">
        <f aca="false">INDEX(B5_SelHz,1,5)</f>
        <v>2</v>
      </c>
      <c r="D9" s="76" t="n">
        <f aca="false">INDEX(B5_SelHz,1,5)</f>
        <v>2</v>
      </c>
      <c r="E9" s="76" t="n">
        <f aca="false">INDEX(B5_SelHz,1,5)</f>
        <v>2</v>
      </c>
      <c r="F9" s="76" t="n">
        <f aca="false">INDEX(B5_SelHz,1,5)</f>
        <v>2</v>
      </c>
      <c r="G9" s="76" t="n">
        <f aca="false">INDEX(B5_SelHz,1,5)</f>
        <v>2</v>
      </c>
      <c r="H9" s="76" t="n">
        <f aca="false">INDEX(B5_SelHz,1,5)</f>
        <v>2</v>
      </c>
      <c r="I9" s="76" t="n">
        <f aca="false">INDEX(B5_SelHz,1,5)</f>
        <v>2</v>
      </c>
      <c r="J9" s="76" t="n">
        <f aca="false">INDEX(B5_SelHz,1,5)</f>
        <v>2</v>
      </c>
      <c r="K9" s="76" t="n">
        <f aca="false">INDEX(B5_SelHz,1,5)</f>
        <v>2</v>
      </c>
      <c r="L9" s="97" t="n">
        <f aca="false">Har_In!$C$65</f>
        <v>1</v>
      </c>
      <c r="M9" s="97" t="n">
        <f aca="false">Har_In!$D$65</f>
        <v>4</v>
      </c>
      <c r="N9" s="76" t="n">
        <f aca="false">INDEX(B5_SelHz,1,5)</f>
        <v>2</v>
      </c>
      <c r="O9" s="76" t="n">
        <f aca="false">INDEX(B5_SelHz,1,5)</f>
        <v>2</v>
      </c>
      <c r="P9" s="76" t="n">
        <f aca="false">INDEX(B5_SelHz,1,5)</f>
        <v>2</v>
      </c>
      <c r="Q9" s="76" t="n">
        <f aca="false">INDEX(B5_SelHz,1,5)</f>
        <v>2</v>
      </c>
      <c r="R9" s="76" t="n">
        <f aca="false">INDEX(B5_SelHz,1,5)</f>
        <v>2</v>
      </c>
      <c r="S9" s="76" t="n">
        <f aca="false">INDEX(B5_SelHz,1,5)</f>
        <v>2</v>
      </c>
    </row>
    <row r="10" customFormat="false" ht="15" hidden="false" customHeight="false" outlineLevel="0" collapsed="false">
      <c r="A10" s="60" t="s">
        <v>2125</v>
      </c>
      <c r="C10" s="114" t="n">
        <f aca="false">INDEX(B5_SelRet,1,5)</f>
        <v>0.67</v>
      </c>
      <c r="D10" s="114" t="n">
        <f aca="false">INDEX(B5_SelRet,1,5)</f>
        <v>0.67</v>
      </c>
      <c r="E10" s="114" t="n">
        <f aca="false">INDEX(B5_SelRet,1,5)</f>
        <v>0.67</v>
      </c>
      <c r="F10" s="114" t="n">
        <f aca="false">INDEX(B5_SelRet,1,5)</f>
        <v>0.67</v>
      </c>
      <c r="G10" s="114" t="n">
        <f aca="false">INDEX(B5_SelRet,1,5)</f>
        <v>0.67</v>
      </c>
      <c r="H10" s="114" t="n">
        <f aca="false">INDEX(B5_SelRet,1,5)</f>
        <v>0.67</v>
      </c>
      <c r="I10" s="114" t="n">
        <f aca="false">INDEX(B5_SelRet,1,5)</f>
        <v>0.67</v>
      </c>
      <c r="J10" s="114" t="n">
        <f aca="false">INDEX(B5_SelRet,1,5)</f>
        <v>0.67</v>
      </c>
      <c r="K10" s="114" t="n">
        <f aca="false">INDEX(B5_SelRet,1,5)</f>
        <v>0.67</v>
      </c>
      <c r="L10" s="114" t="n">
        <f aca="false">INDEX(B5_SelRet,1,5)</f>
        <v>0.67</v>
      </c>
      <c r="M10" s="114" t="n">
        <f aca="false">INDEX(B5_SelRet,1,5)</f>
        <v>0.67</v>
      </c>
      <c r="N10" s="117" t="n">
        <f aca="false">Har_In!$C$66</f>
        <v>0.0833333333333333</v>
      </c>
      <c r="O10" s="117" t="n">
        <f aca="false">Har_In!$D$66</f>
        <v>2</v>
      </c>
      <c r="P10" s="114" t="n">
        <f aca="false">INDEX(B5_SelRet,1,5)</f>
        <v>0.67</v>
      </c>
      <c r="Q10" s="114" t="n">
        <f aca="false">INDEX(B5_SelRet,1,5)</f>
        <v>0.67</v>
      </c>
      <c r="R10" s="114" t="n">
        <f aca="false">INDEX(B5_SelRet,1,5)</f>
        <v>0.67</v>
      </c>
      <c r="S10" s="114" t="n">
        <f aca="false">INDEX(B5_SelRet,1,5)</f>
        <v>0.67</v>
      </c>
    </row>
    <row r="11" customFormat="false" ht="15" hidden="false" customHeight="false" outlineLevel="0" collapsed="false">
      <c r="A11" s="61" t="s">
        <v>2126</v>
      </c>
      <c r="C11" s="76" t="n">
        <f aca="false">B5_Beta</f>
        <v>0.75</v>
      </c>
      <c r="D11" s="76" t="n">
        <f aca="false">B5_Beta</f>
        <v>0.75</v>
      </c>
      <c r="E11" s="76" t="n">
        <f aca="false">B5_Beta</f>
        <v>0.75</v>
      </c>
      <c r="F11" s="76" t="n">
        <f aca="false">B5_Beta</f>
        <v>0.75</v>
      </c>
      <c r="G11" s="76" t="n">
        <f aca="false">B5_Beta</f>
        <v>0.75</v>
      </c>
      <c r="H11" s="76" t="n">
        <f aca="false">B5_Beta</f>
        <v>0.75</v>
      </c>
      <c r="I11" s="76" t="n">
        <f aca="false">B5_Beta</f>
        <v>0.75</v>
      </c>
      <c r="J11" s="76" t="n">
        <f aca="false">B5_Beta</f>
        <v>0.75</v>
      </c>
      <c r="K11" s="76" t="n">
        <f aca="false">B5_Beta</f>
        <v>0.75</v>
      </c>
      <c r="L11" s="76" t="n">
        <f aca="false">B5_Beta</f>
        <v>0.75</v>
      </c>
      <c r="M11" s="76" t="n">
        <f aca="false">B5_Beta</f>
        <v>0.75</v>
      </c>
      <c r="N11" s="76" t="n">
        <f aca="false">B5_Beta</f>
        <v>0.75</v>
      </c>
      <c r="O11" s="76" t="n">
        <f aca="false">B5_Beta</f>
        <v>0.75</v>
      </c>
      <c r="P11" s="97" t="n">
        <f aca="false">Har_In!$D$51</f>
        <v>0.65</v>
      </c>
      <c r="Q11" s="97" t="n">
        <f aca="false">Har_In!$E$51</f>
        <v>1</v>
      </c>
      <c r="R11" s="76" t="n">
        <f aca="false">B5_Beta</f>
        <v>0.75</v>
      </c>
      <c r="S11" s="76" t="n">
        <f aca="false">B5_Beta</f>
        <v>0.75</v>
      </c>
    </row>
    <row r="12" customFormat="false" ht="15" hidden="false" customHeight="false" outlineLevel="0" collapsed="false">
      <c r="A12" s="61" t="s">
        <v>2127</v>
      </c>
      <c r="C12" s="86" t="n">
        <f aca="false">INDEX(B5_H50,1,1)</f>
        <v>1.5</v>
      </c>
      <c r="D12" s="86" t="n">
        <f aca="false">INDEX(B5_H50,1,1)</f>
        <v>1.5</v>
      </c>
      <c r="E12" s="86" t="n">
        <f aca="false">INDEX(B5_H50,1,1)</f>
        <v>1.5</v>
      </c>
      <c r="F12" s="86" t="n">
        <f aca="false">INDEX(B5_H50,1,1)</f>
        <v>1.5</v>
      </c>
      <c r="G12" s="86" t="n">
        <f aca="false">INDEX(B5_H50,1,1)</f>
        <v>1.5</v>
      </c>
      <c r="H12" s="86" t="n">
        <f aca="false">INDEX(B5_H50,1,1)</f>
        <v>1.5</v>
      </c>
      <c r="I12" s="86" t="n">
        <f aca="false">INDEX(B5_H50,1,1)</f>
        <v>1.5</v>
      </c>
      <c r="J12" s="86" t="n">
        <f aca="false">INDEX(B5_H50,1,1)</f>
        <v>1.5</v>
      </c>
      <c r="K12" s="86" t="n">
        <f aca="false">INDEX(B5_H50,1,1)</f>
        <v>1.5</v>
      </c>
      <c r="L12" s="86" t="n">
        <f aca="false">INDEX(B5_H50,1,1)</f>
        <v>1.5</v>
      </c>
      <c r="M12" s="86" t="n">
        <f aca="false">INDEX(B5_H50,1,1)</f>
        <v>1.5</v>
      </c>
      <c r="N12" s="86" t="n">
        <f aca="false">INDEX(B5_H50,1,1)</f>
        <v>1.5</v>
      </c>
      <c r="O12" s="86" t="n">
        <f aca="false">INDEX(B5_H50,1,1)</f>
        <v>1.5</v>
      </c>
      <c r="P12" s="86" t="n">
        <f aca="false">INDEX(B5_H50,1,1)</f>
        <v>1.5</v>
      </c>
      <c r="Q12" s="86" t="n">
        <f aca="false">INDEX(B5_H50,1,1)</f>
        <v>1.5</v>
      </c>
      <c r="R12" s="86" t="n">
        <f aca="false">INDEX(B5_H50Lo,1,1)</f>
        <v>0.5</v>
      </c>
      <c r="S12" s="86" t="n">
        <f aca="false">INDEX(B5_H50Hi,1,1)</f>
        <v>4</v>
      </c>
    </row>
    <row r="13" customFormat="false" ht="15" hidden="false" customHeight="false" outlineLevel="0" collapsed="false">
      <c r="A13" s="61" t="s">
        <v>2128</v>
      </c>
      <c r="C13" s="86" t="n">
        <f aca="false">INDEX(B5_H50,1,2)</f>
        <v>8</v>
      </c>
      <c r="D13" s="86" t="n">
        <f aca="false">INDEX(B5_H50,1,2)</f>
        <v>8</v>
      </c>
      <c r="E13" s="86" t="n">
        <f aca="false">INDEX(B5_H50,1,2)</f>
        <v>8</v>
      </c>
      <c r="F13" s="86" t="n">
        <f aca="false">INDEX(B5_H50,1,2)</f>
        <v>8</v>
      </c>
      <c r="G13" s="86" t="n">
        <f aca="false">INDEX(B5_H50,1,2)</f>
        <v>8</v>
      </c>
      <c r="H13" s="86" t="n">
        <f aca="false">INDEX(B5_H50,1,2)</f>
        <v>8</v>
      </c>
      <c r="I13" s="86" t="n">
        <f aca="false">INDEX(B5_H50,1,2)</f>
        <v>8</v>
      </c>
      <c r="J13" s="86" t="n">
        <f aca="false">INDEX(B5_H50,1,2)</f>
        <v>8</v>
      </c>
      <c r="K13" s="86" t="n">
        <f aca="false">INDEX(B5_H50,1,2)</f>
        <v>8</v>
      </c>
      <c r="L13" s="86" t="n">
        <f aca="false">INDEX(B5_H50,1,2)</f>
        <v>8</v>
      </c>
      <c r="M13" s="86" t="n">
        <f aca="false">INDEX(B5_H50,1,2)</f>
        <v>8</v>
      </c>
      <c r="N13" s="86" t="n">
        <f aca="false">INDEX(B5_H50,1,2)</f>
        <v>8</v>
      </c>
      <c r="O13" s="86" t="n">
        <f aca="false">INDEX(B5_H50,1,2)</f>
        <v>8</v>
      </c>
      <c r="P13" s="86" t="n">
        <f aca="false">INDEX(B5_H50,1,2)</f>
        <v>8</v>
      </c>
      <c r="Q13" s="86" t="n">
        <f aca="false">INDEX(B5_H50,1,2)</f>
        <v>8</v>
      </c>
      <c r="R13" s="86" t="n">
        <f aca="false">INDEX(B5_H50Lo,1,2)</f>
        <v>4</v>
      </c>
      <c r="S13" s="86" t="n">
        <f aca="false">INDEX(B5_H50Hi,1,2)</f>
        <v>12</v>
      </c>
    </row>
    <row r="14" customFormat="false" ht="15" hidden="false" customHeight="false" outlineLevel="0" collapsed="false">
      <c r="A14" s="61" t="s">
        <v>2129</v>
      </c>
      <c r="C14" s="86" t="n">
        <f aca="false">INDEX(B5_H50,1,3)</f>
        <v>16</v>
      </c>
      <c r="D14" s="86" t="n">
        <f aca="false">INDEX(B5_H50,1,3)</f>
        <v>16</v>
      </c>
      <c r="E14" s="86" t="n">
        <f aca="false">INDEX(B5_H50,1,3)</f>
        <v>16</v>
      </c>
      <c r="F14" s="86" t="n">
        <f aca="false">INDEX(B5_H50,1,3)</f>
        <v>16</v>
      </c>
      <c r="G14" s="86" t="n">
        <f aca="false">INDEX(B5_H50,1,3)</f>
        <v>16</v>
      </c>
      <c r="H14" s="86" t="n">
        <f aca="false">INDEX(B5_H50,1,3)</f>
        <v>16</v>
      </c>
      <c r="I14" s="86" t="n">
        <f aca="false">INDEX(B5_H50,1,3)</f>
        <v>16</v>
      </c>
      <c r="J14" s="86" t="n">
        <f aca="false">INDEX(B5_H50,1,3)</f>
        <v>16</v>
      </c>
      <c r="K14" s="86" t="n">
        <f aca="false">INDEX(B5_H50,1,3)</f>
        <v>16</v>
      </c>
      <c r="L14" s="86" t="n">
        <f aca="false">INDEX(B5_H50,1,3)</f>
        <v>16</v>
      </c>
      <c r="M14" s="86" t="n">
        <f aca="false">INDEX(B5_H50,1,3)</f>
        <v>16</v>
      </c>
      <c r="N14" s="86" t="n">
        <f aca="false">INDEX(B5_H50,1,3)</f>
        <v>16</v>
      </c>
      <c r="O14" s="86" t="n">
        <f aca="false">INDEX(B5_H50,1,3)</f>
        <v>16</v>
      </c>
      <c r="P14" s="86" t="n">
        <f aca="false">INDEX(B5_H50,1,3)</f>
        <v>16</v>
      </c>
      <c r="Q14" s="86" t="n">
        <f aca="false">INDEX(B5_H50,1,3)</f>
        <v>16</v>
      </c>
      <c r="R14" s="86" t="n">
        <f aca="false">INDEX(B5_H50Lo,1,3)</f>
        <v>11</v>
      </c>
      <c r="S14" s="86" t="n">
        <f aca="false">INDEX(B5_H50Hi,1,3)</f>
        <v>40</v>
      </c>
    </row>
    <row r="16" customFormat="false" ht="15" hidden="false" customHeight="false" outlineLevel="0" collapsed="false">
      <c r="A16" s="60" t="s">
        <v>2130</v>
      </c>
      <c r="C16" s="108" t="n">
        <f aca="false">Workload!$G$5*C5</f>
        <v>21</v>
      </c>
      <c r="D16" s="108" t="n">
        <f aca="false">Workload!$G$5*D5</f>
        <v>21</v>
      </c>
      <c r="E16" s="108" t="n">
        <f aca="false">Workload!$G$5*E5</f>
        <v>51</v>
      </c>
      <c r="F16" s="108" t="n">
        <f aca="false">Workload!$G$5*F5</f>
        <v>21</v>
      </c>
      <c r="G16" s="108" t="n">
        <f aca="false">Workload!$G$5*G5</f>
        <v>21</v>
      </c>
      <c r="H16" s="108" t="n">
        <f aca="false">Workload!$G$5*H5</f>
        <v>21</v>
      </c>
      <c r="I16" s="108" t="n">
        <f aca="false">Workload!$G$5*I5</f>
        <v>21</v>
      </c>
      <c r="J16" s="108" t="n">
        <f aca="false">Workload!$G$5*J5</f>
        <v>21</v>
      </c>
      <c r="K16" s="108" t="n">
        <f aca="false">Workload!$G$5*K5</f>
        <v>21</v>
      </c>
      <c r="L16" s="108" t="n">
        <f aca="false">Workload!$G$5*L5</f>
        <v>21</v>
      </c>
      <c r="M16" s="108" t="n">
        <f aca="false">Workload!$G$5*M5</f>
        <v>21</v>
      </c>
      <c r="N16" s="108" t="n">
        <f aca="false">Workload!$G$5*N5</f>
        <v>21</v>
      </c>
      <c r="O16" s="108" t="n">
        <f aca="false">Workload!$G$5*O5</f>
        <v>21</v>
      </c>
      <c r="P16" s="108" t="n">
        <f aca="false">Workload!$G$5*P5</f>
        <v>21</v>
      </c>
      <c r="Q16" s="108" t="n">
        <f aca="false">Workload!$G$5*Q5</f>
        <v>21</v>
      </c>
      <c r="R16" s="108" t="n">
        <f aca="false">Workload!$G$5*R5</f>
        <v>21</v>
      </c>
      <c r="S16" s="108" t="n">
        <f aca="false">Workload!$G$5*S5</f>
        <v>21</v>
      </c>
    </row>
    <row r="17" customFormat="false" ht="15" hidden="false" customHeight="false" outlineLevel="0" collapsed="false">
      <c r="A17" s="60" t="s">
        <v>2131</v>
      </c>
      <c r="C17" s="62" t="n">
        <f aca="false">Workload!$G$8*C6</f>
        <v>480</v>
      </c>
      <c r="D17" s="62" t="n">
        <f aca="false">Workload!$G$8*D6</f>
        <v>480</v>
      </c>
      <c r="E17" s="62" t="n">
        <f aca="false">Workload!$G$8*E6</f>
        <v>480</v>
      </c>
      <c r="F17" s="62" t="n">
        <f aca="false">Workload!$G$8*F6</f>
        <v>360</v>
      </c>
      <c r="G17" s="62" t="n">
        <f aca="false">Workload!$G$8*G6</f>
        <v>600</v>
      </c>
      <c r="H17" s="62" t="n">
        <f aca="false">Workload!$G$8*H6</f>
        <v>480</v>
      </c>
      <c r="I17" s="62" t="n">
        <f aca="false">Workload!$G$8*I6</f>
        <v>480</v>
      </c>
      <c r="J17" s="62" t="n">
        <f aca="false">Workload!$G$8*J6</f>
        <v>480</v>
      </c>
      <c r="K17" s="62" t="n">
        <f aca="false">Workload!$G$8*K6</f>
        <v>480</v>
      </c>
      <c r="L17" s="62" t="n">
        <f aca="false">Workload!$G$8*L6</f>
        <v>480</v>
      </c>
      <c r="M17" s="62" t="n">
        <f aca="false">Workload!$G$8*M6</f>
        <v>480</v>
      </c>
      <c r="N17" s="62" t="n">
        <f aca="false">Workload!$G$8*N6</f>
        <v>480</v>
      </c>
      <c r="O17" s="62" t="n">
        <f aca="false">Workload!$G$8*O6</f>
        <v>480</v>
      </c>
      <c r="P17" s="62" t="n">
        <f aca="false">Workload!$G$8*P6</f>
        <v>480</v>
      </c>
      <c r="Q17" s="62" t="n">
        <f aca="false">Workload!$G$8*Q6</f>
        <v>480</v>
      </c>
      <c r="R17" s="62" t="n">
        <f aca="false">Workload!$G$8*R6</f>
        <v>480</v>
      </c>
      <c r="S17" s="62" t="n">
        <f aca="false">Workload!$G$8*S6</f>
        <v>480</v>
      </c>
    </row>
    <row r="18" customFormat="false" ht="15" hidden="false" customHeight="false" outlineLevel="0" collapsed="false">
      <c r="A18" s="60" t="s">
        <v>2132</v>
      </c>
      <c r="C18" s="62" t="n">
        <f aca="false">Workload!$G$7+Workload!$G$9+C7*C17</f>
        <v>2880</v>
      </c>
      <c r="D18" s="62" t="n">
        <f aca="false">Workload!$G$7+Workload!$G$9+D7*D17</f>
        <v>2880</v>
      </c>
      <c r="E18" s="62" t="n">
        <f aca="false">Workload!$G$7+Workload!$G$9+E7*E17</f>
        <v>2880</v>
      </c>
      <c r="F18" s="62" t="n">
        <f aca="false">Workload!$G$7+Workload!$G$9+F7*F17</f>
        <v>2760</v>
      </c>
      <c r="G18" s="62" t="n">
        <f aca="false">Workload!$G$7+Workload!$G$9+G7*G17</f>
        <v>3000</v>
      </c>
      <c r="H18" s="62" t="n">
        <f aca="false">Workload!$G$7+Workload!$G$9+H7*H17</f>
        <v>2640</v>
      </c>
      <c r="I18" s="62" t="n">
        <f aca="false">Workload!$G$7+Workload!$G$9+I7*I17</f>
        <v>2880</v>
      </c>
      <c r="J18" s="62" t="n">
        <f aca="false">Workload!$G$7+Workload!$G$9+J7*J17</f>
        <v>2880</v>
      </c>
      <c r="K18" s="62" t="n">
        <f aca="false">Workload!$G$7+Workload!$G$9+K7*K17</f>
        <v>2880</v>
      </c>
      <c r="L18" s="62" t="n">
        <f aca="false">Workload!$G$7+Workload!$G$9+L7*L17</f>
        <v>2880</v>
      </c>
      <c r="M18" s="62" t="n">
        <f aca="false">Workload!$G$7+Workload!$G$9+M7*M17</f>
        <v>2880</v>
      </c>
      <c r="N18" s="62" t="n">
        <f aca="false">Workload!$G$7+Workload!$G$9+N7*N17</f>
        <v>2880</v>
      </c>
      <c r="O18" s="62" t="n">
        <f aca="false">Workload!$G$7+Workload!$G$9+O7*O17</f>
        <v>2880</v>
      </c>
      <c r="P18" s="62" t="n">
        <f aca="false">Workload!$G$7+Workload!$G$9+P7*P17</f>
        <v>2880</v>
      </c>
      <c r="Q18" s="62" t="n">
        <f aca="false">Workload!$G$7+Workload!$G$9+Q7*Q17</f>
        <v>2880</v>
      </c>
      <c r="R18" s="62" t="n">
        <f aca="false">Workload!$G$7+Workload!$G$9+R7*R17</f>
        <v>2880</v>
      </c>
      <c r="S18" s="62" t="n">
        <f aca="false">Workload!$G$7+Workload!$G$9+S7*S17</f>
        <v>2880</v>
      </c>
    </row>
    <row r="19" customFormat="false" ht="15" hidden="false" customHeight="false" outlineLevel="0" collapsed="false">
      <c r="A19" s="60" t="s">
        <v>2133</v>
      </c>
      <c r="C19" s="62" t="n">
        <f aca="false">C16*(Workload!$G$6+Workload!$G$7)+C8*C18*C16*(C16-1)/2</f>
        <v>717360</v>
      </c>
      <c r="D19" s="62" t="n">
        <f aca="false">D16*(Workload!$G$6+Workload!$G$7)+D8*D18*D16*(D16-1)/2</f>
        <v>717360</v>
      </c>
      <c r="E19" s="62" t="n">
        <f aca="false">E16*(Workload!$G$6+Workload!$G$7)+E8*E18*E16*(E16-1)/2</f>
        <v>3284400</v>
      </c>
      <c r="F19" s="62" t="n">
        <f aca="false">F16*(Workload!$G$6+Workload!$G$7)+F8*F18*F16*(F16-1)/2</f>
        <v>699720</v>
      </c>
      <c r="G19" s="62" t="n">
        <f aca="false">G16*(Workload!$G$6+Workload!$G$7)+G8*G18*G16*(G16-1)/2</f>
        <v>735000</v>
      </c>
      <c r="H19" s="62" t="n">
        <f aca="false">H16*(Workload!$G$6+Workload!$G$7)+H8*H18*H16*(H16-1)/2</f>
        <v>682080</v>
      </c>
      <c r="I19" s="62" t="n">
        <f aca="false">I16*(Workload!$G$6+Workload!$G$7)+I8*I18*I16*(I16-1)/2</f>
        <v>717360</v>
      </c>
      <c r="J19" s="62" t="n">
        <f aca="false">J16*(Workload!$G$6+Workload!$G$7)+J8*J18*J16*(J16-1)/2</f>
        <v>596400</v>
      </c>
      <c r="K19" s="62" t="n">
        <f aca="false">K16*(Workload!$G$6+Workload!$G$7)+K8*K18*K16*(K16-1)/2</f>
        <v>898800</v>
      </c>
      <c r="L19" s="62" t="n">
        <f aca="false">L16*(Workload!$G$6+Workload!$G$7)+L8*L18*L16*(L16-1)/2</f>
        <v>717360</v>
      </c>
      <c r="M19" s="62" t="n">
        <f aca="false">M16*(Workload!$G$6+Workload!$G$7)+M8*M18*M16*(M16-1)/2</f>
        <v>717360</v>
      </c>
      <c r="N19" s="62" t="n">
        <f aca="false">N16*(Workload!$G$6+Workload!$G$7)+N8*N18*N16*(N16-1)/2</f>
        <v>717360</v>
      </c>
      <c r="O19" s="62" t="n">
        <f aca="false">O16*(Workload!$G$6+Workload!$G$7)+O8*O18*O16*(O16-1)/2</f>
        <v>717360</v>
      </c>
      <c r="P19" s="62" t="n">
        <f aca="false">P16*(Workload!$G$6+Workload!$G$7)+P8*P18*P16*(P16-1)/2</f>
        <v>717360</v>
      </c>
      <c r="Q19" s="62" t="n">
        <f aca="false">Q16*(Workload!$G$6+Workload!$G$7)+Q8*Q18*Q16*(Q16-1)/2</f>
        <v>717360</v>
      </c>
      <c r="R19" s="62" t="n">
        <f aca="false">R16*(Workload!$G$6+Workload!$G$7)+R8*R18*R16*(R16-1)/2</f>
        <v>717360</v>
      </c>
      <c r="S19" s="62" t="n">
        <f aca="false">S16*(Workload!$G$6+Workload!$G$7)+S8*S18*S16*(S16-1)/2</f>
        <v>717360</v>
      </c>
    </row>
    <row r="20" customFormat="false" ht="15" hidden="false" customHeight="false" outlineLevel="0" collapsed="false">
      <c r="A20" s="60" t="s">
        <v>2134</v>
      </c>
      <c r="C20" s="62" t="n">
        <f aca="false">MIN(1,MAX(0,Workload!$G$11+INDEX(B5_SelDChi,1,5)))*(C16*Workload!$G$6+C8*C18*C16*(C16-1)/2)</f>
        <v>607824</v>
      </c>
      <c r="D20" s="62" t="n">
        <f aca="false">MIN(1,MAX(0,Workload!$G$11+INDEX(B5_SelDChi,1,5)))*(D16*Workload!$G$6+D8*D18*D16*(D16-1)/2)</f>
        <v>607824</v>
      </c>
      <c r="E20" s="62" t="n">
        <f aca="false">MIN(1,MAX(0,Workload!$G$11+INDEX(B5_SelDChi,1,5)))*(E16*Workload!$G$6+E8*E18*E16*(E16-1)/2)</f>
        <v>2864160</v>
      </c>
      <c r="F20" s="62" t="n">
        <f aca="false">MIN(1,MAX(0,Workload!$G$11+INDEX(B5_SelDChi,1,5)))*(F16*Workload!$G$6+F8*F18*F16*(F16-1)/2)</f>
        <v>591948</v>
      </c>
      <c r="G20" s="62" t="n">
        <f aca="false">MIN(1,MAX(0,Workload!$G$11+INDEX(B5_SelDChi,1,5)))*(G16*Workload!$G$6+G8*G18*G16*(G16-1)/2)</f>
        <v>623700</v>
      </c>
      <c r="H20" s="62" t="n">
        <f aca="false">MIN(1,MAX(0,Workload!$G$11+INDEX(B5_SelDChi,1,5)))*(H16*Workload!$G$6+H8*H18*H16*(H16-1)/2)</f>
        <v>576072</v>
      </c>
      <c r="I20" s="62" t="n">
        <f aca="false">MIN(1,MAX(0,Workload!$G$11+INDEX(B5_SelDChi,1,5)))*(I16*Workload!$G$6+I8*I18*I16*(I16-1)/2)</f>
        <v>607824</v>
      </c>
      <c r="J20" s="62" t="n">
        <f aca="false">MIN(1,MAX(0,Workload!$G$11+INDEX(B5_SelDChi,1,5)))*(J16*Workload!$G$6+J8*J18*J16*(J16-1)/2)</f>
        <v>498960</v>
      </c>
      <c r="K20" s="62" t="n">
        <f aca="false">MIN(1,MAX(0,Workload!$G$11+INDEX(B5_SelDChi,1,5)))*(K16*Workload!$G$6+K8*K18*K16*(K16-1)/2)</f>
        <v>771120</v>
      </c>
      <c r="L20" s="62" t="n">
        <f aca="false">MIN(1,MAX(0,Workload!$G$11+INDEX(B5_SelDChi,1,5)))*(L16*Workload!$G$6+L8*L18*L16*(L16-1)/2)</f>
        <v>607824</v>
      </c>
      <c r="M20" s="62" t="n">
        <f aca="false">MIN(1,MAX(0,Workload!$G$11+INDEX(B5_SelDChi,1,5)))*(M16*Workload!$G$6+M8*M18*M16*(M16-1)/2)</f>
        <v>607824</v>
      </c>
      <c r="N20" s="62" t="n">
        <f aca="false">MIN(1,MAX(0,Workload!$G$11+INDEX(B5_SelDChi,1,5)))*(N16*Workload!$G$6+N8*N18*N16*(N16-1)/2)</f>
        <v>607824</v>
      </c>
      <c r="O20" s="62" t="n">
        <f aca="false">MIN(1,MAX(0,Workload!$G$11+INDEX(B5_SelDChi,1,5)))*(O16*Workload!$G$6+O8*O18*O16*(O16-1)/2)</f>
        <v>607824</v>
      </c>
      <c r="P20" s="62" t="n">
        <f aca="false">MIN(1,MAX(0,Workload!$G$11+INDEX(B5_SelDChi,1,5)))*(P16*Workload!$G$6+P8*P18*P16*(P16-1)/2)</f>
        <v>607824</v>
      </c>
      <c r="Q20" s="62" t="n">
        <f aca="false">MIN(1,MAX(0,Workload!$G$11+INDEX(B5_SelDChi,1,5)))*(Q16*Workload!$G$6+Q8*Q18*Q16*(Q16-1)/2)</f>
        <v>607824</v>
      </c>
      <c r="R20" s="62" t="n">
        <f aca="false">MIN(1,MAX(0,Workload!$G$11+INDEX(B5_SelDChi,1,5)))*(R16*Workload!$G$6+R8*R18*R16*(R16-1)/2)</f>
        <v>607824</v>
      </c>
      <c r="S20" s="62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0" t="s">
        <v>2135</v>
      </c>
      <c r="C21" s="62" t="n">
        <f aca="false">(C19-C20)*(1+Workload!$G$12+INDEX(B5_SelDM,1,5))*Workload!$G$13</f>
        <v>109536</v>
      </c>
      <c r="D21" s="62" t="n">
        <f aca="false">(D19-D20)*(1+Workload!$G$12+INDEX(B5_SelDM,1,5))*Workload!$G$13</f>
        <v>109536</v>
      </c>
      <c r="E21" s="62" t="n">
        <f aca="false">(E19-E20)*(1+Workload!$G$12+INDEX(B5_SelDM,1,5))*Workload!$G$13</f>
        <v>420240</v>
      </c>
      <c r="F21" s="62" t="n">
        <f aca="false">(F19-F20)*(1+Workload!$G$12+INDEX(B5_SelDM,1,5))*Workload!$G$13</f>
        <v>107772</v>
      </c>
      <c r="G21" s="62" t="n">
        <f aca="false">(G19-G20)*(1+Workload!$G$12+INDEX(B5_SelDM,1,5))*Workload!$G$13</f>
        <v>111300</v>
      </c>
      <c r="H21" s="62" t="n">
        <f aca="false">(H19-H20)*(1+Workload!$G$12+INDEX(B5_SelDM,1,5))*Workload!$G$13</f>
        <v>106008</v>
      </c>
      <c r="I21" s="62" t="n">
        <f aca="false">(I19-I20)*(1+Workload!$G$12+INDEX(B5_SelDM,1,5))*Workload!$G$13</f>
        <v>109536</v>
      </c>
      <c r="J21" s="62" t="n">
        <f aca="false">(J19-J20)*(1+Workload!$G$12+INDEX(B5_SelDM,1,5))*Workload!$G$13</f>
        <v>97440</v>
      </c>
      <c r="K21" s="62" t="n">
        <f aca="false">(K19-K20)*(1+Workload!$G$12+INDEX(B5_SelDM,1,5))*Workload!$G$13</f>
        <v>127680</v>
      </c>
      <c r="L21" s="62" t="n">
        <f aca="false">(L19-L20)*(1+Workload!$G$12+INDEX(B5_SelDM,1,5))*Workload!$G$13</f>
        <v>109536</v>
      </c>
      <c r="M21" s="62" t="n">
        <f aca="false">(M19-M20)*(1+Workload!$G$12+INDEX(B5_SelDM,1,5))*Workload!$G$13</f>
        <v>109536</v>
      </c>
      <c r="N21" s="62" t="n">
        <f aca="false">(N19-N20)*(1+Workload!$G$12+INDEX(B5_SelDM,1,5))*Workload!$G$13</f>
        <v>109536</v>
      </c>
      <c r="O21" s="62" t="n">
        <f aca="false">(O19-O20)*(1+Workload!$G$12+INDEX(B5_SelDM,1,5))*Workload!$G$13</f>
        <v>109536</v>
      </c>
      <c r="P21" s="62" t="n">
        <f aca="false">(P19-P20)*(1+Workload!$G$12+INDEX(B5_SelDM,1,5))*Workload!$G$13</f>
        <v>109536</v>
      </c>
      <c r="Q21" s="62" t="n">
        <f aca="false">(Q19-Q20)*(1+Workload!$G$12+INDEX(B5_SelDM,1,5))*Workload!$G$13</f>
        <v>109536</v>
      </c>
      <c r="R21" s="62" t="n">
        <f aca="false">(R19-R20)*(1+Workload!$G$12+INDEX(B5_SelDM,1,5))*Workload!$G$13</f>
        <v>109536</v>
      </c>
      <c r="S21" s="62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0" t="s">
        <v>2136</v>
      </c>
      <c r="C22" s="62" t="n">
        <f aca="false">C20*(1+Workload!$G$12+INDEX(B5_SelDM,1,5))*Workload!$G$13</f>
        <v>607824</v>
      </c>
      <c r="D22" s="62" t="n">
        <f aca="false">D20*(1+Workload!$G$12+INDEX(B5_SelDM,1,5))*Workload!$G$13</f>
        <v>607824</v>
      </c>
      <c r="E22" s="62" t="n">
        <f aca="false">E20*(1+Workload!$G$12+INDEX(B5_SelDM,1,5))*Workload!$G$13</f>
        <v>2864160</v>
      </c>
      <c r="F22" s="62" t="n">
        <f aca="false">F20*(1+Workload!$G$12+INDEX(B5_SelDM,1,5))*Workload!$G$13</f>
        <v>591948</v>
      </c>
      <c r="G22" s="62" t="n">
        <f aca="false">G20*(1+Workload!$G$12+INDEX(B5_SelDM,1,5))*Workload!$G$13</f>
        <v>623700</v>
      </c>
      <c r="H22" s="62" t="n">
        <f aca="false">H20*(1+Workload!$G$12+INDEX(B5_SelDM,1,5))*Workload!$G$13</f>
        <v>576072</v>
      </c>
      <c r="I22" s="62" t="n">
        <f aca="false">I20*(1+Workload!$G$12+INDEX(B5_SelDM,1,5))*Workload!$G$13</f>
        <v>607824</v>
      </c>
      <c r="J22" s="62" t="n">
        <f aca="false">J20*(1+Workload!$G$12+INDEX(B5_SelDM,1,5))*Workload!$G$13</f>
        <v>498960</v>
      </c>
      <c r="K22" s="62" t="n">
        <f aca="false">K20*(1+Workload!$G$12+INDEX(B5_SelDM,1,5))*Workload!$G$13</f>
        <v>771120</v>
      </c>
      <c r="L22" s="62" t="n">
        <f aca="false">L20*(1+Workload!$G$12+INDEX(B5_SelDM,1,5))*Workload!$G$13</f>
        <v>607824</v>
      </c>
      <c r="M22" s="62" t="n">
        <f aca="false">M20*(1+Workload!$G$12+INDEX(B5_SelDM,1,5))*Workload!$G$13</f>
        <v>607824</v>
      </c>
      <c r="N22" s="62" t="n">
        <f aca="false">N20*(1+Workload!$G$12+INDEX(B5_SelDM,1,5))*Workload!$G$13</f>
        <v>607824</v>
      </c>
      <c r="O22" s="62" t="n">
        <f aca="false">O20*(1+Workload!$G$12+INDEX(B5_SelDM,1,5))*Workload!$G$13</f>
        <v>607824</v>
      </c>
      <c r="P22" s="62" t="n">
        <f aca="false">P20*(1+Workload!$G$12+INDEX(B5_SelDM,1,5))*Workload!$G$13</f>
        <v>607824</v>
      </c>
      <c r="Q22" s="62" t="n">
        <f aca="false">Q20*(1+Workload!$G$12+INDEX(B5_SelDM,1,5))*Workload!$G$13</f>
        <v>607824</v>
      </c>
      <c r="R22" s="62" t="n">
        <f aca="false">R20*(1+Workload!$G$12+INDEX(B5_SelDM,1,5))*Workload!$G$13</f>
        <v>607824</v>
      </c>
      <c r="S22" s="62" t="n">
        <f aca="false">S20*(1+Workload!$G$12+INDEX(B5_SelDM,1,5))*Workload!$G$13</f>
        <v>607824</v>
      </c>
    </row>
    <row r="23" customFormat="false" ht="15" hidden="false" customHeight="false" outlineLevel="0" collapsed="false">
      <c r="A23" s="60" t="s">
        <v>2137</v>
      </c>
      <c r="C23" s="62" t="n">
        <f aca="false">C16*(C17+Workload!$G$9)*(1+Workload!$G$12+INDEX(B5_SelDM,1,5))*Workload!$G$13</f>
        <v>18480</v>
      </c>
      <c r="D23" s="62" t="n">
        <f aca="false">D16*(D17+Workload!$G$9)*(1+Workload!$G$12+INDEX(B5_SelDM,1,5))*Workload!$G$13</f>
        <v>18480</v>
      </c>
      <c r="E23" s="62" t="n">
        <f aca="false">E16*(E17+Workload!$G$9)*(1+Workload!$G$12+INDEX(B5_SelDM,1,5))*Workload!$G$13</f>
        <v>44880</v>
      </c>
      <c r="F23" s="62" t="n">
        <f aca="false">F16*(F17+Workload!$G$9)*(1+Workload!$G$12+INDEX(B5_SelDM,1,5))*Workload!$G$13</f>
        <v>15960</v>
      </c>
      <c r="G23" s="62" t="n">
        <f aca="false">G16*(G17+Workload!$G$9)*(1+Workload!$G$12+INDEX(B5_SelDM,1,5))*Workload!$G$13</f>
        <v>21000</v>
      </c>
      <c r="H23" s="62" t="n">
        <f aca="false">H16*(H17+Workload!$G$9)*(1+Workload!$G$12+INDEX(B5_SelDM,1,5))*Workload!$G$13</f>
        <v>18480</v>
      </c>
      <c r="I23" s="62" t="n">
        <f aca="false">I16*(I17+Workload!$G$9)*(1+Workload!$G$12+INDEX(B5_SelDM,1,5))*Workload!$G$13</f>
        <v>18480</v>
      </c>
      <c r="J23" s="62" t="n">
        <f aca="false">J16*(J17+Workload!$G$9)*(1+Workload!$G$12+INDEX(B5_SelDM,1,5))*Workload!$G$13</f>
        <v>18480</v>
      </c>
      <c r="K23" s="62" t="n">
        <f aca="false">K16*(K17+Workload!$G$9)*(1+Workload!$G$12+INDEX(B5_SelDM,1,5))*Workload!$G$13</f>
        <v>18480</v>
      </c>
      <c r="L23" s="62" t="n">
        <f aca="false">L16*(L17+Workload!$G$9)*(1+Workload!$G$12+INDEX(B5_SelDM,1,5))*Workload!$G$13</f>
        <v>18480</v>
      </c>
      <c r="M23" s="62" t="n">
        <f aca="false">M16*(M17+Workload!$G$9)*(1+Workload!$G$12+INDEX(B5_SelDM,1,5))*Workload!$G$13</f>
        <v>18480</v>
      </c>
      <c r="N23" s="62" t="n">
        <f aca="false">N16*(N17+Workload!$G$9)*(1+Workload!$G$12+INDEX(B5_SelDM,1,5))*Workload!$G$13</f>
        <v>18480</v>
      </c>
      <c r="O23" s="62" t="n">
        <f aca="false">O16*(O17+Workload!$G$9)*(1+Workload!$G$12+INDEX(B5_SelDM,1,5))*Workload!$G$13</f>
        <v>18480</v>
      </c>
      <c r="P23" s="62" t="n">
        <f aca="false">P16*(P17+Workload!$G$9)*(1+Workload!$G$12+INDEX(B5_SelDM,1,5))*Workload!$G$13</f>
        <v>18480</v>
      </c>
      <c r="Q23" s="62" t="n">
        <f aca="false">Q16*(Q17+Workload!$G$9)*(1+Workload!$G$12+INDEX(B5_SelDM,1,5))*Workload!$G$13</f>
        <v>18480</v>
      </c>
      <c r="R23" s="62" t="n">
        <f aca="false">R16*(R17+Workload!$G$9)*(1+Workload!$G$12+INDEX(B5_SelDM,1,5))*Workload!$G$13</f>
        <v>18480</v>
      </c>
      <c r="S23" s="62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1" t="s">
        <v>2138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1" t="s">
        <v>2139</v>
      </c>
      <c r="C26" s="90" t="n">
        <f aca="false">IF(ISNUMBER(Unit_Cost!$M$21),(C21*Unit_Cost!$M$19+C22*(Unit_Cost!$M$20+Cache_Store!$M$17*C10/B4_Retain)+C23*Unit_Cost!$M$21)/1000000,"SLO 不可達")</f>
        <v>0.00417883481944361</v>
      </c>
      <c r="D26" s="90" t="n">
        <f aca="false">IF(ISNUMBER(Unit_Cost!$M$21),(D21*Unit_Cost!$M$19+D22*(Unit_Cost!$M$20+Cache_Store!$M$17*D10/B4_Retain)+D23*Unit_Cost!$M$21)/1000000,"SLO 不可達")</f>
        <v>0.00417883481944361</v>
      </c>
      <c r="E26" s="90" t="n">
        <f aca="false">IF(ISNUMBER(Unit_Cost!$M$21),(E21*Unit_Cost!$M$19+E22*(Unit_Cost!$M$20+Cache_Store!$M$17*E10/B4_Retain)+E23*Unit_Cost!$M$21)/1000000,"SLO 不可達")</f>
        <v>0.0116274236439126</v>
      </c>
      <c r="F26" s="90" t="n">
        <f aca="false">IF(ISNUMBER(Unit_Cost!$M$21),(F21*Unit_Cost!$M$19+F22*(Unit_Cost!$M$20+Cache_Store!$M$17*F10/B4_Retain)+F23*Unit_Cost!$M$21)/1000000,"SLO 不可達")</f>
        <v>0.00372660435037644</v>
      </c>
      <c r="G26" s="90" t="n">
        <f aca="false">IF(ISNUMBER(Unit_Cost!$M$21),(G21*Unit_Cost!$M$19+G22*(Unit_Cost!$M$20+Cache_Store!$M$17*G10/B4_Retain)+G23*Unit_Cost!$M$21)/1000000,"SLO 不可達")</f>
        <v>0.00463106528851078</v>
      </c>
      <c r="H26" s="90" t="n">
        <f aca="false">IF(ISNUMBER(Unit_Cost!$M$21),(H21*Unit_Cost!$M$19+H22*(Unit_Cost!$M$20+Cache_Store!$M$17*H10/B4_Retain)+H23*Unit_Cost!$M$21)/1000000,"SLO 不可達")</f>
        <v>0.00414500549402908</v>
      </c>
      <c r="I26" s="90" t="n">
        <f aca="false">IF(ISNUMBER(Unit_Cost!$M$21),(I21*Unit_Cost!$M$19+I22*(Unit_Cost!$M$20+Cache_Store!$M$17*I10/B4_Retain)+I23*Unit_Cost!$M$21)/1000000,"SLO 不可達")</f>
        <v>0.00417883481944361</v>
      </c>
      <c r="J26" s="90" t="n">
        <f aca="false">IF(ISNUMBER(Unit_Cost!$M$21),(J21*Unit_Cost!$M$19+J22*(Unit_Cost!$M$20+Cache_Store!$M$17*J10/B4_Retain)+J23*Unit_Cost!$M$21)/1000000,"SLO 不可達")</f>
        <v>0.0040628485608795</v>
      </c>
      <c r="K26" s="90" t="n">
        <f aca="false">IF(ISNUMBER(Unit_Cost!$M$21),(K21*Unit_Cost!$M$19+K22*(Unit_Cost!$M$20+Cache_Store!$M$17*K10/B4_Retain)+K23*Unit_Cost!$M$21)/1000000,"SLO 不可達")</f>
        <v>0.00435281420728977</v>
      </c>
      <c r="L26" s="90" t="n">
        <f aca="false">IF(ISNUMBER(Unit_Cost!$M$21),(L21*Unit_Cost!$M$19+L22*(Unit_Cost!$M$20+Cache_Store!$M$17*L10/B4_Retain)+L23*Unit_Cost!$M$21)/1000000,"SLO 不可達")</f>
        <v>0.00417883481944361</v>
      </c>
      <c r="M26" s="90" t="n">
        <f aca="false">IF(ISNUMBER(Unit_Cost!$M$21),(M21*Unit_Cost!$M$19+M22*(Unit_Cost!$M$20+Cache_Store!$M$17*M10/B4_Retain)+M23*Unit_Cost!$M$21)/1000000,"SLO 不可達")</f>
        <v>0.00417883481944361</v>
      </c>
      <c r="N26" s="90" t="n">
        <f aca="false">IF(ISNUMBER(Unit_Cost!$M$21),(N21*Unit_Cost!$M$19+N22*(Unit_Cost!$M$20+Cache_Store!$M$17*N10/B4_Retain)+N23*Unit_Cost!$M$21)/1000000,"SLO 不可達")</f>
        <v>0.00412194730382717</v>
      </c>
      <c r="O26" s="90" t="n">
        <f aca="false">IF(ISNUMBER(Unit_Cost!$M$21),(O21*Unit_Cost!$M$19+O22*(Unit_Cost!$M$20+Cache_Store!$M$17*O10/B4_Retain)+O23*Unit_Cost!$M$21)/1000000,"SLO 不可達")</f>
        <v>0.00430780140314224</v>
      </c>
      <c r="P26" s="90" t="n">
        <f aca="false">IF(ISNUMBER(Unit_Cost!$M$21),(P21*Unit_Cost!$M$19+P22*(Unit_Cost!$M$20+Cache_Store!$M$17*P10/B4_Retain)+P23*Unit_Cost!$M$21)/1000000,"SLO 不可達")</f>
        <v>0.00417883481944361</v>
      </c>
      <c r="Q26" s="90" t="n">
        <f aca="false">IF(ISNUMBER(Unit_Cost!$M$21),(Q21*Unit_Cost!$M$19+Q22*(Unit_Cost!$M$20+Cache_Store!$M$17*Q10/B4_Retain)+Q23*Unit_Cost!$M$21)/1000000,"SLO 不可達")</f>
        <v>0.00417883481944361</v>
      </c>
      <c r="R26" s="90" t="n">
        <f aca="false">IF(ISNUMBER(Unit_Cost!$M$21),(R21*Unit_Cost!$M$19+R22*(Unit_Cost!$M$20+Cache_Store!$M$17*R10/B4_Retain)+R23*Unit_Cost!$M$21)/1000000,"SLO 不可達")</f>
        <v>0.00417883481944361</v>
      </c>
      <c r="S26" s="90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61" t="s">
        <v>2140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1" t="s">
        <v>2141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1" t="s">
        <v>2142</v>
      </c>
      <c r="C29" s="97" t="n">
        <f aca="false">IF(AND(ISNUMBER(C26),ISNUMBER(Harness!$G$67)),(C26/C28)/(Harness!$G$67/C27),"SLO 不可達")</f>
        <v>0.41488270725697</v>
      </c>
      <c r="D29" s="97" t="n">
        <f aca="false">IF(AND(ISNUMBER(D26),ISNUMBER(Harness!$G$67)),(D26/D28)/(Harness!$G$67/D27),"SLO 不可達")</f>
        <v>0.41488270725697</v>
      </c>
      <c r="E29" s="97" t="n">
        <f aca="false">IF(AND(ISNUMBER(E26),ISNUMBER(Harness!$G$67)),(E26/E28)/(Harness!$G$67/E27),"SLO 不可達")</f>
        <v>1.15439284112513</v>
      </c>
      <c r="F29" s="97" t="n">
        <f aca="false">IF(AND(ISNUMBER(F26),ISNUMBER(Harness!$G$67)),(F26/F28)/(Harness!$G$67/F27),"SLO 不可達")</f>
        <v>0.369984402007456</v>
      </c>
      <c r="G29" s="97" t="n">
        <f aca="false">IF(AND(ISNUMBER(G26),ISNUMBER(Harness!$G$67)),(G26/G28)/(Harness!$G$67/G27),"SLO 不可達")</f>
        <v>0.459781012506484</v>
      </c>
      <c r="H29" s="97" t="n">
        <f aca="false">IF(AND(ISNUMBER(H26),ISNUMBER(Harness!$G$67)),(H26/H28)/(Harness!$G$67/H27),"SLO 不可達")</f>
        <v>0.41152406717688</v>
      </c>
      <c r="I29" s="97" t="n">
        <f aca="false">IF(AND(ISNUMBER(I26),ISNUMBER(Harness!$G$67)),(I26/I28)/(Harness!$G$67/I27),"SLO 不可達")</f>
        <v>0.41488270725697</v>
      </c>
      <c r="J29" s="97" t="n">
        <f aca="false">IF(AND(ISNUMBER(J26),ISNUMBER(Harness!$G$67)),(J26/J28)/(Harness!$G$67/J27),"SLO 不可達")</f>
        <v>0.403367369839519</v>
      </c>
      <c r="K29" s="97" t="n">
        <f aca="false">IF(AND(ISNUMBER(K26),ISNUMBER(Harness!$G$67)),(K26/K28)/(Harness!$G$67/K27),"SLO 不可達")</f>
        <v>0.432155713383145</v>
      </c>
      <c r="L29" s="97" t="n">
        <f aca="false">IF(AND(ISNUMBER(L26),ISNUMBER(Harness!$G$67)),(L26/L28)/(Harness!$G$67/L27),"SLO 不可達")</f>
        <v>0.606109487924997</v>
      </c>
      <c r="M29" s="97" t="n">
        <f aca="false">IF(AND(ISNUMBER(M26),ISNUMBER(Harness!$G$67)),(M26/M28)/(Harness!$G$67/M27),"SLO 不可達")</f>
        <v>0.301178583182229</v>
      </c>
      <c r="N29" s="97" t="n">
        <f aca="false">IF(AND(ISNUMBER(N26),ISNUMBER(Harness!$G$67)),(N26/N28)/(Harness!$G$67/N27),"SLO 不可達")</f>
        <v>0.409234805985961</v>
      </c>
      <c r="O29" s="97" t="n">
        <f aca="false">IF(AND(ISNUMBER(O26),ISNUMBER(Harness!$G$67)),(O26/O28)/(Harness!$G$67/O27),"SLO 不可達")</f>
        <v>0.427686756161132</v>
      </c>
      <c r="P29" s="97" t="n">
        <f aca="false">IF(AND(ISNUMBER(P26),ISNUMBER(Harness!$G$67)),(P26/P28)/(Harness!$G$67/P27),"SLO 不可達")</f>
        <v>0.441658709984243</v>
      </c>
      <c r="Q29" s="97" t="n">
        <f aca="false">IF(AND(ISNUMBER(Q26),ISNUMBER(Harness!$G$67)),(Q26/Q28)/(Harness!$G$67/Q27),"SLO 不可達")</f>
        <v>0.350905493009209</v>
      </c>
      <c r="R29" s="97" t="n">
        <f aca="false">IF(AND(ISNUMBER(R26),ISNUMBER(Harness!$G$67)),(R26/R28)/(Harness!$G$67/R27),"SLO 不可達")</f>
        <v>0.387696483329916</v>
      </c>
      <c r="S29" s="97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61" t="s">
        <v>2143</v>
      </c>
      <c r="C30" s="90" t="n">
        <f aca="false">IF(ISNUMBER(Unit_Cost!$M$34),(C21*Unit_Cost!$M$32+C22*(Unit_Cost!$M$33+Cache_Store!$M$23*C10/B4_Retain)+C23*Unit_Cost!$M$34)/1000000,"SLO 不可達")</f>
        <v>0.0133545480583761</v>
      </c>
      <c r="D30" s="90" t="n">
        <f aca="false">IF(ISNUMBER(Unit_Cost!$M$34),(D21*Unit_Cost!$M$32+D22*(Unit_Cost!$M$33+Cache_Store!$M$23*D10/B4_Retain)+D23*Unit_Cost!$M$34)/1000000,"SLO 不可達")</f>
        <v>0.0133545480583761</v>
      </c>
      <c r="E30" s="90" t="n">
        <f aca="false">IF(ISNUMBER(Unit_Cost!$M$34),(E21*Unit_Cost!$M$32+E22*(Unit_Cost!$M$33+Cache_Store!$M$23*E10/B4_Retain)+E23*Unit_Cost!$M$34)/1000000,"SLO 不可達")</f>
        <v>0.0370843851092077</v>
      </c>
      <c r="F30" s="90" t="n">
        <f aca="false">IF(ISNUMBER(Unit_Cost!$M$34),(F21*Unit_Cost!$M$32+F22*(Unit_Cost!$M$33+Cache_Store!$M$23*F10/B4_Retain)+F23*Unit_Cost!$M$34)/1000000,"SLO 不可達")</f>
        <v>0.0119184647270107</v>
      </c>
      <c r="G30" s="90" t="n">
        <f aca="false">IF(ISNUMBER(Unit_Cost!$M$34),(G21*Unit_Cost!$M$32+G22*(Unit_Cost!$M$33+Cache_Store!$M$23*G10/B4_Retain)+G23*Unit_Cost!$M$34)/1000000,"SLO 不可達")</f>
        <v>0.0147906313897414</v>
      </c>
      <c r="H30" s="90" t="n">
        <f aca="false">IF(ISNUMBER(Unit_Cost!$M$34),(H21*Unit_Cost!$M$32+H22*(Unit_Cost!$M$33+Cache_Store!$M$23*H10/B4_Retain)+H23*Unit_Cost!$M$34)/1000000,"SLO 不可達")</f>
        <v>0.0132481317878791</v>
      </c>
      <c r="I30" s="90" t="n">
        <f aca="false">IF(ISNUMBER(Unit_Cost!$M$34),(I21*Unit_Cost!$M$32+I22*(Unit_Cost!$M$33+Cache_Store!$M$23*I10/B4_Retain)+I23*Unit_Cost!$M$34)/1000000,"SLO 不可達")</f>
        <v>0.0133545480583761</v>
      </c>
      <c r="J30" s="90" t="n">
        <f aca="false">IF(ISNUMBER(Unit_Cost!$M$34),(J21*Unit_Cost!$M$32+J22*(Unit_Cost!$M$33+Cache_Store!$M$23*J10/B4_Retain)+J23*Unit_Cost!$M$34)/1000000,"SLO 不可達")</f>
        <v>0.0129896922738152</v>
      </c>
      <c r="K30" s="90" t="n">
        <f aca="false">IF(ISNUMBER(Unit_Cost!$M$34),(K21*Unit_Cost!$M$32+K22*(Unit_Cost!$M$33+Cache_Store!$M$23*K10/B4_Retain)+K23*Unit_Cost!$M$34)/1000000,"SLO 不可達")</f>
        <v>0.0139018317352174</v>
      </c>
      <c r="L30" s="90" t="n">
        <f aca="false">IF(ISNUMBER(Unit_Cost!$M$34),(L21*Unit_Cost!$M$32+L22*(Unit_Cost!$M$33+Cache_Store!$M$23*L10/B4_Retain)+L23*Unit_Cost!$M$34)/1000000,"SLO 不可達")</f>
        <v>0.0133545480583761</v>
      </c>
      <c r="M30" s="90" t="n">
        <f aca="false">IF(ISNUMBER(Unit_Cost!$M$34),(M21*Unit_Cost!$M$32+M22*(Unit_Cost!$M$33+Cache_Store!$M$23*M10/B4_Retain)+M23*Unit_Cost!$M$34)/1000000,"SLO 不可達")</f>
        <v>0.0133545480583761</v>
      </c>
      <c r="N30" s="90" t="n">
        <f aca="false">IF(ISNUMBER(Unit_Cost!$M$34),(N21*Unit_Cost!$M$32+N22*(Unit_Cost!$M$33+Cache_Store!$M$23*N10/B4_Retain)+N23*Unit_Cost!$M$34)/1000000,"SLO 不可達")</f>
        <v>0.0132738471641295</v>
      </c>
      <c r="O30" s="90" t="n">
        <f aca="false">IF(ISNUMBER(Unit_Cost!$M$34),(O21*Unit_Cost!$M$32+O22*(Unit_Cost!$M$33+Cache_Store!$M$23*O10/B4_Retain)+O23*Unit_Cost!$M$34)/1000000,"SLO 不可達")</f>
        <v>0.0135375006538555</v>
      </c>
      <c r="P30" s="90" t="n">
        <f aca="false">IF(ISNUMBER(Unit_Cost!$M$34),(P21*Unit_Cost!$M$32+P22*(Unit_Cost!$M$33+Cache_Store!$M$23*P10/B4_Retain)+P23*Unit_Cost!$M$34)/1000000,"SLO 不可達")</f>
        <v>0.0133545480583761</v>
      </c>
      <c r="Q30" s="90" t="n">
        <f aca="false">IF(ISNUMBER(Unit_Cost!$M$34),(Q21*Unit_Cost!$M$32+Q22*(Unit_Cost!$M$33+Cache_Store!$M$23*Q10/B4_Retain)+Q23*Unit_Cost!$M$34)/1000000,"SLO 不可達")</f>
        <v>0.0133545480583761</v>
      </c>
      <c r="R30" s="90" t="n">
        <f aca="false">IF(ISNUMBER(Unit_Cost!$M$34),(R21*Unit_Cost!$M$32+R22*(Unit_Cost!$M$33+Cache_Store!$M$23*R10/B4_Retain)+R23*Unit_Cost!$M$34)/1000000,"SLO 不可達")</f>
        <v>0.0133545480583761</v>
      </c>
      <c r="S30" s="90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61" t="s">
        <v>2144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1" t="s">
        <v>2145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1" t="s">
        <v>2146</v>
      </c>
      <c r="C33" s="164" t="n">
        <f aca="false">IF(AND(ISNUMBER(C30),ISNUMBER(Harness!$G$70)),(C30/C32)/(Harness!$G$70/C31),"SLO 不可達")</f>
        <v>0.4793958062764</v>
      </c>
      <c r="D33" s="164" t="n">
        <f aca="false">IF(AND(ISNUMBER(D30),ISNUMBER(Harness!$G$70)),(D30/D32)/(Harness!$G$70/D31),"SLO 不可達")</f>
        <v>0.4793958062764</v>
      </c>
      <c r="E33" s="164" t="n">
        <f aca="false">IF(AND(ISNUMBER(E30),ISNUMBER(Harness!$G$70)),(E30/E32)/(Harness!$G$70/E31),"SLO 不可達")</f>
        <v>1.331239261859</v>
      </c>
      <c r="F33" s="164" t="n">
        <f aca="false">IF(AND(ISNUMBER(F30),ISNUMBER(Harness!$G$70)),(F30/F32)/(Harness!$G$70/F31),"SLO 不可達")</f>
        <v>0.427843906241251</v>
      </c>
      <c r="G33" s="164" t="n">
        <f aca="false">IF(AND(ISNUMBER(G30),ISNUMBER(Harness!$G$70)),(G30/G32)/(Harness!$G$70/G31),"SLO 不可達")</f>
        <v>0.530947706311549</v>
      </c>
      <c r="H33" s="164" t="n">
        <f aca="false">IF(AND(ISNUMBER(H30),ISNUMBER(Harness!$G$70)),(H30/H32)/(Harness!$G$70/H31),"SLO 不可達")</f>
        <v>0.475575720896288</v>
      </c>
      <c r="I33" s="164" t="n">
        <f aca="false">IF(AND(ISNUMBER(I30),ISNUMBER(Harness!$G$70)),(I30/I32)/(Harness!$G$70/I31),"SLO 不可達")</f>
        <v>0.4793958062764</v>
      </c>
      <c r="J33" s="164" t="n">
        <f aca="false">IF(AND(ISNUMBER(J30),ISNUMBER(Harness!$G$70)),(J30/J32)/(Harness!$G$70/J31),"SLO 不可達")</f>
        <v>0.466298370687445</v>
      </c>
      <c r="K33" s="164" t="n">
        <f aca="false">IF(AND(ISNUMBER(K30),ISNUMBER(Harness!$G$70)),(K30/K32)/(Harness!$G$70/K31),"SLO 不可達")</f>
        <v>0.499041959659832</v>
      </c>
      <c r="L33" s="164" t="n">
        <f aca="false">IF(AND(ISNUMBER(L30),ISNUMBER(Harness!$G$70)),(L30/L32)/(Harness!$G$70/L31),"SLO 不可達")</f>
        <v>0.601272716370434</v>
      </c>
      <c r="M33" s="164" t="n">
        <f aca="false">IF(AND(ISNUMBER(M30),ISNUMBER(Harness!$G$70)),(M30/M32)/(Harness!$G$70/M31),"SLO 不可達")</f>
        <v>0.406927361957214</v>
      </c>
      <c r="N33" s="164" t="n">
        <f aca="false">IF(AND(ISNUMBER(N30),ISNUMBER(Harness!$G$70)),(N30/N32)/(Harness!$G$70/N31),"SLO 不可達")</f>
        <v>0.476498840381676</v>
      </c>
      <c r="O33" s="164" t="n">
        <f aca="false">IF(AND(ISNUMBER(O30),ISNUMBER(Harness!$G$70)),(O30/O32)/(Harness!$G$70/O31),"SLO 不可達")</f>
        <v>0.485963359640006</v>
      </c>
      <c r="P33" s="164" t="n">
        <f aca="false">IF(AND(ISNUMBER(P30),ISNUMBER(Harness!$G$70)),(P30/P32)/(Harness!$G$70/P31),"SLO 不可達")</f>
        <v>0.492225990826981</v>
      </c>
      <c r="Q33" s="164" t="n">
        <f aca="false">IF(AND(ISNUMBER(Q30),ISNUMBER(Harness!$G$70)),(Q30/Q32)/(Harness!$G$70/Q31),"SLO 不可達")</f>
        <v>0.450954537277825</v>
      </c>
      <c r="R33" s="164" t="n">
        <f aca="false">IF(AND(ISNUMBER(R30),ISNUMBER(Harness!$G$70)),(R30/R32)/(Harness!$G$70/R31),"SLO 不可達")</f>
        <v>0.448411010373732</v>
      </c>
      <c r="S33" s="164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61" t="s">
        <v>2147</v>
      </c>
      <c r="C34" s="90" t="n">
        <f aca="false">IF(ISNUMBER(Unit_Cost!$M$47),(C21*Unit_Cost!$M$45+C22*(Unit_Cost!$M$46+Cache_Store!$M$29*C10/B4_Retain)+C23*Unit_Cost!$M$47)/1000000,"SLO 不可達")</f>
        <v>0.0647861711827245</v>
      </c>
      <c r="D34" s="90" t="n">
        <f aca="false">IF(ISNUMBER(Unit_Cost!$M$47),(D21*Unit_Cost!$M$45+D22*(Unit_Cost!$M$46+Cache_Store!$M$29*D10/B4_Retain)+D23*Unit_Cost!$M$47)/1000000,"SLO 不可達")</f>
        <v>0.0647861711827245</v>
      </c>
      <c r="E34" s="90" t="n">
        <f aca="false">IF(ISNUMBER(Unit_Cost!$M$47),(E21*Unit_Cost!$M$45+E22*(Unit_Cost!$M$46+Cache_Store!$M$29*E10/B4_Retain)+E23*Unit_Cost!$M$47)/1000000,"SLO 不可達")</f>
        <v>0.176495838886375</v>
      </c>
      <c r="F34" s="90" t="n">
        <f aca="false">IF(ISNUMBER(Unit_Cost!$M$47),(F21*Unit_Cost!$M$45+F22*(Unit_Cost!$M$46+Cache_Store!$M$29*F10/B4_Retain)+F23*Unit_Cost!$M$47)/1000000,"SLO 不可達")</f>
        <v>0.0574087394975229</v>
      </c>
      <c r="G34" s="90" t="n">
        <f aca="false">IF(ISNUMBER(Unit_Cost!$M$47),(G21*Unit_Cost!$M$45+G22*(Unit_Cost!$M$46+Cache_Store!$M$29*G10/B4_Retain)+G23*Unit_Cost!$M$47)/1000000,"SLO 不可達")</f>
        <v>0.072163602867926</v>
      </c>
      <c r="H34" s="90" t="n">
        <f aca="false">IF(ISNUMBER(Unit_Cost!$M$47),(H21*Unit_Cost!$M$45+H22*(Unit_Cost!$M$46+Cache_Store!$M$29*H10/B4_Retain)+H23*Unit_Cost!$M$47)/1000000,"SLO 不可達")</f>
        <v>0.0643479164046254</v>
      </c>
      <c r="I34" s="90" t="n">
        <f aca="false">IF(ISNUMBER(Unit_Cost!$M$47),(I21*Unit_Cost!$M$45+I22*(Unit_Cost!$M$46+Cache_Store!$M$29*I10/B4_Retain)+I23*Unit_Cost!$M$47)/1000000,"SLO 不可達")</f>
        <v>0.0647861711827245</v>
      </c>
      <c r="J34" s="90" t="n">
        <f aca="false">IF(ISNUMBER(Unit_Cost!$M$47),(J21*Unit_Cost!$M$45+J22*(Unit_Cost!$M$46+Cache_Store!$M$29*J10/B4_Retain)+J23*Unit_Cost!$M$47)/1000000,"SLO 不可達")</f>
        <v>0.0632835833720992</v>
      </c>
      <c r="K34" s="90" t="n">
        <f aca="false">IF(ISNUMBER(Unit_Cost!$M$47),(K21*Unit_Cost!$M$45+K22*(Unit_Cost!$M$46+Cache_Store!$M$29*K10/B4_Retain)+K23*Unit_Cost!$M$47)/1000000,"SLO 不可達")</f>
        <v>0.0670400528986624</v>
      </c>
      <c r="L34" s="90" t="n">
        <f aca="false">IF(ISNUMBER(Unit_Cost!$M$47),(L21*Unit_Cost!$M$45+L22*(Unit_Cost!$M$46+Cache_Store!$M$29*L10/B4_Retain)+L23*Unit_Cost!$M$47)/1000000,"SLO 不可達")</f>
        <v>0.0647861711827245</v>
      </c>
      <c r="M34" s="90" t="n">
        <f aca="false">IF(ISNUMBER(Unit_Cost!$M$47),(M21*Unit_Cost!$M$45+M22*(Unit_Cost!$M$46+Cache_Store!$M$29*M10/B4_Retain)+M23*Unit_Cost!$M$47)/1000000,"SLO 不可達")</f>
        <v>0.0647861711827245</v>
      </c>
      <c r="N34" s="90" t="n">
        <f aca="false">IF(ISNUMBER(Unit_Cost!$M$47),(N21*Unit_Cost!$M$45+N22*(Unit_Cost!$M$46+Cache_Store!$M$29*N10/B4_Retain)+N23*Unit_Cost!$M$47)/1000000,"SLO 不可達")</f>
        <v>0.0636138202347793</v>
      </c>
      <c r="O34" s="90" t="n">
        <f aca="false">IF(ISNUMBER(Unit_Cost!$M$47),(O21*Unit_Cost!$M$45+O22*(Unit_Cost!$M$46+Cache_Store!$M$29*O10/B4_Retain)+O23*Unit_Cost!$M$47)/1000000,"SLO 不可達")</f>
        <v>0.0674439440703957</v>
      </c>
      <c r="P34" s="90" t="n">
        <f aca="false">IF(ISNUMBER(Unit_Cost!$M$47),(P21*Unit_Cost!$M$45+P22*(Unit_Cost!$M$46+Cache_Store!$M$29*P10/B4_Retain)+P23*Unit_Cost!$M$47)/1000000,"SLO 不可達")</f>
        <v>0.0647861711827245</v>
      </c>
      <c r="Q34" s="90" t="n">
        <f aca="false">IF(ISNUMBER(Unit_Cost!$M$47),(Q21*Unit_Cost!$M$45+Q22*(Unit_Cost!$M$46+Cache_Store!$M$29*Q10/B4_Retain)+Q23*Unit_Cost!$M$47)/1000000,"SLO 不可達")</f>
        <v>0.0647861711827245</v>
      </c>
      <c r="R34" s="90" t="n">
        <f aca="false">IF(ISNUMBER(Unit_Cost!$M$47),(R21*Unit_Cost!$M$45+R22*(Unit_Cost!$M$46+Cache_Store!$M$29*R10/B4_Retain)+R23*Unit_Cost!$M$47)/1000000,"SLO 不可達")</f>
        <v>0.0647861711827245</v>
      </c>
      <c r="S34" s="90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61" t="s">
        <v>2148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1" t="s">
        <v>2149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1" t="s">
        <v>2150</v>
      </c>
      <c r="C37" s="164" t="n">
        <f aca="false">IF(AND(ISNUMBER(C34),ISNUMBER(Harness!$G$73)),(C34/C36)/(Harness!$G$73/C35),"SLO 不可達")</f>
        <v>0.519797101771478</v>
      </c>
      <c r="D37" s="164" t="n">
        <f aca="false">IF(AND(ISNUMBER(D34),ISNUMBER(Harness!$G$73)),(D34/D36)/(Harness!$G$73/D35),"SLO 不可達")</f>
        <v>0.519797101771478</v>
      </c>
      <c r="E37" s="164" t="n">
        <f aca="false">IF(AND(ISNUMBER(E34),ISNUMBER(Harness!$G$73)),(E34/E36)/(Harness!$G$73/E35),"SLO 不可達")</f>
        <v>1.41607419998802</v>
      </c>
      <c r="F37" s="164" t="n">
        <f aca="false">IF(AND(ISNUMBER(F34),ISNUMBER(Harness!$G$73)),(F34/F36)/(Harness!$G$73/F35),"SLO 不可達")</f>
        <v>0.460605957450429</v>
      </c>
      <c r="G37" s="164" t="n">
        <f aca="false">IF(AND(ISNUMBER(G34),ISNUMBER(Harness!$G$73)),(G34/G36)/(Harness!$G$73/G35),"SLO 不可達")</f>
        <v>0.578988246092527</v>
      </c>
      <c r="H37" s="164" t="n">
        <f aca="false">IF(AND(ISNUMBER(H34),ISNUMBER(Harness!$G$73)),(H34/H36)/(Harness!$G$73/H35),"SLO 不可達")</f>
        <v>0.516280864288468</v>
      </c>
      <c r="I37" s="164" t="n">
        <f aca="false">IF(AND(ISNUMBER(I34),ISNUMBER(Harness!$G$73)),(I34/I36)/(Harness!$G$73/I35),"SLO 不可達")</f>
        <v>0.519797101771478</v>
      </c>
      <c r="J37" s="164" t="n">
        <f aca="false">IF(AND(ISNUMBER(J34),ISNUMBER(Harness!$G$73)),(J34/J36)/(Harness!$G$73/J35),"SLO 不可達")</f>
        <v>0.507741430401159</v>
      </c>
      <c r="K37" s="164" t="n">
        <f aca="false">IF(AND(ISNUMBER(K34),ISNUMBER(Harness!$G$73)),(K34/K36)/(Harness!$G$73/K35),"SLO 不可達")</f>
        <v>0.537880608826957</v>
      </c>
      <c r="L37" s="164" t="n">
        <f aca="false">IF(AND(ISNUMBER(L34),ISNUMBER(Harness!$G$73)),(L34/L36)/(Harness!$G$73/L35),"SLO 不可達")</f>
        <v>0.61236617145955</v>
      </c>
      <c r="M37" s="164" t="n">
        <f aca="false">IF(AND(ISNUMBER(M34),ISNUMBER(Harness!$G$73)),(M34/M36)/(Harness!$G$73/M35),"SLO 不可達")</f>
        <v>0.464755203620359</v>
      </c>
      <c r="N37" s="164" t="n">
        <f aca="false">IF(AND(ISNUMBER(N34),ISNUMBER(Harness!$G$73)),(N34/N36)/(Harness!$G$73/N35),"SLO 不可達")</f>
        <v>0.510391010720315</v>
      </c>
      <c r="O37" s="164" t="n">
        <f aca="false">IF(AND(ISNUMBER(O34),ISNUMBER(Harness!$G$73)),(O34/O36)/(Harness!$G$73/O35),"SLO 不可達")</f>
        <v>0.541121137734059</v>
      </c>
      <c r="P37" s="164" t="n">
        <f aca="false">IF(AND(ISNUMBER(P34),ISNUMBER(Harness!$G$73)),(P34/P36)/(Harness!$G$73/P35),"SLO 不可達")</f>
        <v>0.525911237912991</v>
      </c>
      <c r="Q37" s="164" t="n">
        <f aca="false">IF(AND(ISNUMBER(Q34),ISNUMBER(Harness!$G$73)),(Q34/Q36)/(Harness!$G$73/Q35),"SLO 不可達")</f>
        <v>0.510305142882958</v>
      </c>
      <c r="R37" s="164" t="n">
        <f aca="false">IF(AND(ISNUMBER(R34),ISNUMBER(Harness!$G$73)),(R34/R36)/(Harness!$G$73/R35),"SLO 不可達")</f>
        <v>0.502993662282698</v>
      </c>
      <c r="S37" s="164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3" t="s">
        <v>2151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7" t="s">
        <v>2152</v>
      </c>
    </row>
    <row r="2" customFormat="false" ht="15" hidden="false" customHeight="false" outlineLevel="0" collapsed="false">
      <c r="A2" s="73" t="s">
        <v>2153</v>
      </c>
    </row>
    <row r="4" customFormat="false" ht="15" hidden="false" customHeight="false" outlineLevel="0" collapsed="false">
      <c r="A4" s="83" t="s">
        <v>2154</v>
      </c>
      <c r="B4" s="83" t="s">
        <v>83</v>
      </c>
      <c r="C4" s="83" t="s">
        <v>85</v>
      </c>
      <c r="D4" s="83" t="s">
        <v>1150</v>
      </c>
      <c r="E4" s="83" t="s">
        <v>1151</v>
      </c>
      <c r="F4" s="83" t="s">
        <v>87</v>
      </c>
      <c r="G4" s="83" t="s">
        <v>2155</v>
      </c>
    </row>
    <row r="5" customFormat="false" ht="15" hidden="false" customHeight="false" outlineLevel="0" collapsed="false">
      <c r="A5" s="60" t="s">
        <v>2156</v>
      </c>
      <c r="B5" s="60" t="s">
        <v>95</v>
      </c>
      <c r="C5" s="170" t="s">
        <v>1212</v>
      </c>
      <c r="D5" s="61" t="s">
        <v>620</v>
      </c>
      <c r="E5" s="61" t="s">
        <v>620</v>
      </c>
      <c r="F5" s="61" t="s">
        <v>92</v>
      </c>
      <c r="G5" s="87" t="s">
        <v>2157</v>
      </c>
    </row>
    <row r="6" customFormat="false" ht="15" hidden="false" customHeight="false" outlineLevel="0" collapsed="false">
      <c r="A6" s="60" t="s">
        <v>2158</v>
      </c>
      <c r="B6" s="60" t="s">
        <v>2159</v>
      </c>
      <c r="C6" s="171" t="n">
        <v>1</v>
      </c>
      <c r="D6" s="77" t="n">
        <v>1</v>
      </c>
      <c r="E6" s="77" t="n">
        <v>2</v>
      </c>
      <c r="F6" s="61" t="s">
        <v>100</v>
      </c>
      <c r="G6" s="87" t="s">
        <v>2160</v>
      </c>
    </row>
    <row r="7" customFormat="false" ht="15" hidden="false" customHeight="false" outlineLevel="0" collapsed="false">
      <c r="A7" s="60" t="s">
        <v>2161</v>
      </c>
      <c r="B7" s="60" t="s">
        <v>2159</v>
      </c>
      <c r="C7" s="171" t="n">
        <v>2</v>
      </c>
      <c r="D7" s="77" t="n">
        <v>0</v>
      </c>
      <c r="E7" s="77" t="n">
        <v>6</v>
      </c>
      <c r="F7" s="61" t="s">
        <v>100</v>
      </c>
      <c r="G7" s="87" t="s">
        <v>2162</v>
      </c>
    </row>
    <row r="8" customFormat="false" ht="15" hidden="false" customHeight="false" outlineLevel="0" collapsed="false">
      <c r="A8" s="60" t="s">
        <v>2163</v>
      </c>
      <c r="B8" s="61" t="s">
        <v>103</v>
      </c>
      <c r="C8" s="171" t="n">
        <v>1</v>
      </c>
      <c r="D8" s="77" t="n">
        <v>0.5</v>
      </c>
      <c r="E8" s="77" t="n">
        <v>7</v>
      </c>
      <c r="F8" s="61" t="s">
        <v>100</v>
      </c>
      <c r="G8" s="87" t="s">
        <v>2164</v>
      </c>
    </row>
    <row r="9" customFormat="false" ht="39.55" hidden="false" customHeight="false" outlineLevel="0" collapsed="false">
      <c r="A9" s="60" t="s">
        <v>2165</v>
      </c>
      <c r="B9" s="61" t="s">
        <v>99</v>
      </c>
      <c r="C9" s="172" t="n">
        <v>0.6</v>
      </c>
      <c r="D9" s="65" t="n">
        <v>0.5</v>
      </c>
      <c r="E9" s="65" t="n">
        <v>0.7</v>
      </c>
      <c r="F9" s="61" t="s">
        <v>147</v>
      </c>
      <c r="G9" s="87" t="s">
        <v>2166</v>
      </c>
    </row>
    <row r="10" customFormat="false" ht="39.55" hidden="false" customHeight="false" outlineLevel="0" collapsed="false">
      <c r="A10" s="60" t="s">
        <v>2167</v>
      </c>
      <c r="B10" s="61" t="s">
        <v>99</v>
      </c>
      <c r="C10" s="172" t="n">
        <v>0.4</v>
      </c>
      <c r="D10" s="65" t="n">
        <v>0.25</v>
      </c>
      <c r="E10" s="65" t="n">
        <v>0.4</v>
      </c>
      <c r="F10" s="61" t="s">
        <v>147</v>
      </c>
      <c r="G10" s="87" t="s">
        <v>2168</v>
      </c>
    </row>
    <row r="11" customFormat="false" ht="39.55" hidden="false" customHeight="false" outlineLevel="0" collapsed="false">
      <c r="A11" s="60" t="s">
        <v>2169</v>
      </c>
      <c r="B11" s="61" t="s">
        <v>99</v>
      </c>
      <c r="C11" s="172" t="n">
        <v>0</v>
      </c>
      <c r="D11" s="65" t="n">
        <v>0</v>
      </c>
      <c r="E11" s="65" t="n">
        <v>0.1</v>
      </c>
      <c r="F11" s="61" t="s">
        <v>147</v>
      </c>
      <c r="G11" s="87" t="s">
        <v>2170</v>
      </c>
    </row>
    <row r="12" customFormat="false" ht="39.55" hidden="false" customHeight="false" outlineLevel="0" collapsed="false">
      <c r="A12" s="60" t="s">
        <v>2171</v>
      </c>
      <c r="B12" s="61" t="s">
        <v>99</v>
      </c>
      <c r="C12" s="172" t="n">
        <v>0</v>
      </c>
      <c r="D12" s="65" t="n">
        <v>0</v>
      </c>
      <c r="E12" s="65" t="n">
        <v>0</v>
      </c>
      <c r="F12" s="61" t="s">
        <v>147</v>
      </c>
      <c r="G12" s="87" t="s">
        <v>2172</v>
      </c>
    </row>
    <row r="13" customFormat="false" ht="15" hidden="false" customHeight="false" outlineLevel="0" collapsed="false">
      <c r="A13" s="60" t="s">
        <v>2173</v>
      </c>
      <c r="B13" s="61" t="s">
        <v>99</v>
      </c>
      <c r="C13" s="172" t="n">
        <v>0</v>
      </c>
      <c r="D13" s="65" t="n">
        <v>0</v>
      </c>
      <c r="E13" s="65" t="n">
        <v>1</v>
      </c>
      <c r="F13" s="61" t="s">
        <v>2174</v>
      </c>
      <c r="G13" s="87" t="s">
        <v>2175</v>
      </c>
    </row>
    <row r="14" customFormat="false" ht="15" hidden="false" customHeight="false" outlineLevel="0" collapsed="false">
      <c r="A14" s="61" t="s">
        <v>2176</v>
      </c>
      <c r="B14" s="61" t="s">
        <v>103</v>
      </c>
      <c r="C14" s="171" t="n">
        <v>0.75</v>
      </c>
      <c r="D14" s="77" t="n">
        <v>0.6</v>
      </c>
      <c r="E14" s="77" t="n">
        <v>0.9</v>
      </c>
      <c r="F14" s="61" t="s">
        <v>100</v>
      </c>
      <c r="G14" s="87" t="s">
        <v>2177</v>
      </c>
    </row>
    <row r="15" customFormat="false" ht="64.9" hidden="false" customHeight="false" outlineLevel="0" collapsed="false">
      <c r="A15" s="60" t="s">
        <v>2178</v>
      </c>
      <c r="B15" s="61" t="s">
        <v>292</v>
      </c>
      <c r="C15" s="82" t="n">
        <v>4000</v>
      </c>
      <c r="D15" s="63" t="n">
        <v>2000</v>
      </c>
      <c r="E15" s="63" t="n">
        <v>11000</v>
      </c>
      <c r="F15" s="61" t="s">
        <v>100</v>
      </c>
      <c r="G15" s="87" t="s">
        <v>2179</v>
      </c>
    </row>
    <row r="16" customFormat="false" ht="15" hidden="false" customHeight="false" outlineLevel="0" collapsed="false">
      <c r="A16" s="61" t="s">
        <v>2180</v>
      </c>
      <c r="B16" s="61" t="s">
        <v>99</v>
      </c>
      <c r="C16" s="172" t="n">
        <v>0.6</v>
      </c>
      <c r="D16" s="65" t="n">
        <v>0.4</v>
      </c>
      <c r="E16" s="65" t="n">
        <v>0.8</v>
      </c>
      <c r="F16" s="61" t="s">
        <v>100</v>
      </c>
      <c r="G16" s="93" t="s">
        <v>2181</v>
      </c>
    </row>
    <row r="18" customFormat="false" ht="15" hidden="false" customHeight="false" outlineLevel="0" collapsed="false">
      <c r="A18" s="59" t="s">
        <v>2182</v>
      </c>
      <c r="C18" s="85" t="n">
        <f aca="false">SUM(AL_MixGen)</f>
        <v>1</v>
      </c>
    </row>
    <row r="20" customFormat="false" ht="15" hidden="false" customHeight="false" outlineLevel="0" collapsed="false">
      <c r="A20" s="73" t="s">
        <v>2183</v>
      </c>
    </row>
    <row r="22" customFormat="false" ht="15" hidden="false" customHeight="false" outlineLevel="0" collapsed="false">
      <c r="A22" s="75" t="s">
        <v>2184</v>
      </c>
      <c r="B22" s="69"/>
      <c r="C22" s="69"/>
      <c r="D22" s="69"/>
      <c r="E22" s="69"/>
      <c r="F22" s="69"/>
      <c r="G22" s="69"/>
    </row>
    <row r="23" customFormat="false" ht="39.55" hidden="false" customHeight="false" outlineLevel="0" collapsed="false">
      <c r="A23" s="5" t="s">
        <v>2185</v>
      </c>
      <c r="B23" s="61" t="s">
        <v>103</v>
      </c>
      <c r="C23" s="173" t="n">
        <v>0.85</v>
      </c>
      <c r="D23" s="78" t="n">
        <v>0.73</v>
      </c>
      <c r="E23" s="78" t="n">
        <v>1.17</v>
      </c>
      <c r="F23" s="61" t="s">
        <v>147</v>
      </c>
      <c r="G23" s="93" t="s">
        <v>2186</v>
      </c>
    </row>
    <row r="24" customFormat="false" ht="52.2" hidden="false" customHeight="false" outlineLevel="0" collapsed="false">
      <c r="A24" s="5" t="s">
        <v>2187</v>
      </c>
      <c r="B24" s="61" t="s">
        <v>103</v>
      </c>
      <c r="C24" s="173" t="n">
        <v>0.41</v>
      </c>
      <c r="D24" s="78" t="n">
        <v>0.3</v>
      </c>
      <c r="E24" s="78" t="n">
        <v>0.65</v>
      </c>
      <c r="F24" s="61" t="s">
        <v>100</v>
      </c>
      <c r="G24" s="93" t="s">
        <v>2188</v>
      </c>
    </row>
    <row r="25" customFormat="false" ht="29.85" hidden="false" customHeight="false" outlineLevel="0" collapsed="false">
      <c r="A25" s="5" t="s">
        <v>2189</v>
      </c>
      <c r="B25" s="61" t="s">
        <v>292</v>
      </c>
      <c r="C25" s="63" t="n">
        <v>2000</v>
      </c>
      <c r="D25" s="61" t="s">
        <v>620</v>
      </c>
      <c r="E25" s="61" t="s">
        <v>620</v>
      </c>
      <c r="F25" s="61" t="s">
        <v>2190</v>
      </c>
      <c r="G25" s="87" t="s">
        <v>2191</v>
      </c>
    </row>
    <row r="26" customFormat="false" ht="77.6" hidden="false" customHeight="false" outlineLevel="0" collapsed="false">
      <c r="A26" s="5" t="s">
        <v>2192</v>
      </c>
      <c r="B26" s="61" t="s">
        <v>103</v>
      </c>
      <c r="C26" s="173" t="n">
        <v>1</v>
      </c>
      <c r="D26" s="78" t="n">
        <v>0.65</v>
      </c>
      <c r="E26" s="78" t="n">
        <v>1.2</v>
      </c>
      <c r="F26" s="61" t="s">
        <v>147</v>
      </c>
      <c r="G26" s="87" t="s">
        <v>2193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57" t="s">
        <v>2194</v>
      </c>
    </row>
    <row r="2" customFormat="false" ht="15" hidden="false" customHeight="false" outlineLevel="0" collapsed="false">
      <c r="A2" s="73" t="s">
        <v>2195</v>
      </c>
    </row>
    <row r="4" customFormat="false" ht="15" hidden="false" customHeight="false" outlineLevel="0" collapsed="false">
      <c r="A4" s="75" t="s">
        <v>2196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6" t="s">
        <v>2197</v>
      </c>
      <c r="B5" s="61" t="s">
        <v>799</v>
      </c>
      <c r="C5" s="67" t="n">
        <f aca="false">SRC_DEM_010*1000000000*525600*AL_APIratio/1000000</f>
        <v>2365200000</v>
      </c>
      <c r="G5" s="58" t="s">
        <v>2198</v>
      </c>
    </row>
    <row r="6" customFormat="false" ht="15" hidden="false" customHeight="false" outlineLevel="0" collapsed="false">
      <c r="A6" s="6" t="s">
        <v>2199</v>
      </c>
      <c r="B6" s="61" t="s">
        <v>799</v>
      </c>
      <c r="C6" s="67" t="n">
        <f aca="false">SRC_DEM_012*1000000000*AL_TokPerPrompt*365/1000000</f>
        <v>3650000000</v>
      </c>
      <c r="G6" s="58" t="s">
        <v>2200</v>
      </c>
    </row>
    <row r="7" customFormat="false" ht="15" hidden="false" customHeight="false" outlineLevel="0" collapsed="false">
      <c r="A7" s="6" t="s">
        <v>2201</v>
      </c>
      <c r="B7" s="61" t="s">
        <v>799</v>
      </c>
      <c r="C7" s="67" t="n">
        <f aca="false">AL_DChat*AL_FreeShare</f>
        <v>2190000000</v>
      </c>
      <c r="G7" s="58" t="s">
        <v>2202</v>
      </c>
    </row>
    <row r="8" customFormat="false" ht="15" hidden="false" customHeight="false" outlineLevel="0" collapsed="false">
      <c r="A8" s="6" t="s">
        <v>2203</v>
      </c>
      <c r="B8" s="61" t="s">
        <v>799</v>
      </c>
      <c r="C8" s="67" t="n">
        <f aca="false">AL_DChat-AL_DChatFree</f>
        <v>1460000000</v>
      </c>
      <c r="G8" s="58" t="s">
        <v>2204</v>
      </c>
    </row>
    <row r="9" customFormat="false" ht="15" hidden="false" customHeight="false" outlineLevel="0" collapsed="false">
      <c r="A9" s="5" t="s">
        <v>2205</v>
      </c>
      <c r="B9" s="61" t="s">
        <v>799</v>
      </c>
      <c r="C9" s="67" t="n">
        <f aca="false">AL_DAPI+AL_DChatPaid</f>
        <v>3825200000</v>
      </c>
    </row>
    <row r="10" customFormat="false" ht="15" hidden="false" customHeight="false" outlineLevel="0" collapsed="false">
      <c r="A10" s="5" t="s">
        <v>2206</v>
      </c>
      <c r="B10" s="61" t="s">
        <v>799</v>
      </c>
      <c r="C10" s="67" t="n">
        <f aca="false">AL_DChatFree</f>
        <v>2190000000</v>
      </c>
    </row>
    <row r="11" customFormat="false" ht="15" hidden="false" customHeight="false" outlineLevel="0" collapsed="false">
      <c r="A11" s="6" t="s">
        <v>2207</v>
      </c>
      <c r="B11" s="61" t="s">
        <v>799</v>
      </c>
      <c r="C11" s="70" t="n">
        <f aca="false">AL_DPaid+AL_DFree</f>
        <v>6015200000</v>
      </c>
    </row>
    <row r="12" customFormat="false" ht="15" hidden="false" customHeight="false" outlineLevel="0" collapsed="false">
      <c r="A12" s="5" t="s">
        <v>2208</v>
      </c>
      <c r="B12" s="61" t="s">
        <v>1309</v>
      </c>
      <c r="C12" s="71" t="n">
        <f aca="false">AL_D/365/1000000</f>
        <v>16.48</v>
      </c>
      <c r="G12" s="58" t="s">
        <v>2209</v>
      </c>
    </row>
    <row r="14" customFormat="false" ht="15" hidden="false" customHeight="false" outlineLevel="0" collapsed="false">
      <c r="A14" s="75" t="s">
        <v>2210</v>
      </c>
      <c r="B14" s="69"/>
      <c r="C14" s="69"/>
      <c r="D14" s="69"/>
      <c r="E14" s="69"/>
      <c r="F14" s="69"/>
      <c r="G14" s="69"/>
    </row>
    <row r="15" customFormat="false" ht="15" hidden="false" customHeight="false" outlineLevel="0" collapsed="false">
      <c r="A15" s="59" t="s">
        <v>171</v>
      </c>
      <c r="C15" s="81" t="str">
        <f aca="false">INDEX(Spec_Rack!$C$4:$G$4,C16)</f>
        <v>Hopper H100</v>
      </c>
      <c r="D15" s="81" t="str">
        <f aca="false">INDEX(Spec_Rack!$C$4:$G$4,D16)</f>
        <v>GB200 NVL72</v>
      </c>
      <c r="E15" s="81" t="str">
        <f aca="false">INDEX(Spec_Rack!$C$4:$G$4,E16)</f>
        <v>GB300 NVL72</v>
      </c>
      <c r="F15" s="81" t="str">
        <f aca="false">INDEX(Spec_Rack!$C$4:$G$4,F16)</f>
        <v>VR200 NVL72</v>
      </c>
    </row>
    <row r="16" customFormat="false" ht="15" hidden="false" customHeight="false" outlineLevel="0" collapsed="false">
      <c r="A16" s="5" t="s">
        <v>2211</v>
      </c>
      <c r="B16" s="60" t="s">
        <v>945</v>
      </c>
      <c r="C16" s="111" t="n">
        <v>1</v>
      </c>
      <c r="D16" s="111" t="n">
        <v>2</v>
      </c>
      <c r="E16" s="111" t="n">
        <v>3</v>
      </c>
      <c r="F16" s="111" t="n">
        <v>4</v>
      </c>
    </row>
    <row r="17" customFormat="false" ht="15" hidden="false" customHeight="false" outlineLevel="0" collapsed="false">
      <c r="A17" s="6" t="s">
        <v>2212</v>
      </c>
      <c r="B17" s="60" t="s">
        <v>945</v>
      </c>
      <c r="C17" s="111" t="n">
        <f aca="false">3*(C16-1)+2</f>
        <v>2</v>
      </c>
      <c r="D17" s="111" t="n">
        <f aca="false">3*(D16-1)+2</f>
        <v>5</v>
      </c>
      <c r="E17" s="111" t="n">
        <f aca="false">3*(E16-1)+2</f>
        <v>8</v>
      </c>
      <c r="F17" s="111" t="n">
        <f aca="false">3*(F16-1)+2</f>
        <v>11</v>
      </c>
    </row>
    <row r="18" customFormat="false" ht="15" hidden="false" customHeight="false" outlineLevel="0" collapsed="false">
      <c r="A18" s="5" t="s">
        <v>2213</v>
      </c>
      <c r="B18" s="61" t="s">
        <v>99</v>
      </c>
      <c r="C18" s="85" t="n">
        <f aca="false">AL_MixHopper</f>
        <v>0.6</v>
      </c>
      <c r="D18" s="85" t="n">
        <f aca="false">AL_MixGB200</f>
        <v>0.4</v>
      </c>
      <c r="E18" s="85" t="n">
        <f aca="false">AL_MixGB300</f>
        <v>0</v>
      </c>
      <c r="F18" s="85" t="n">
        <f aca="false">AL_MixVR200</f>
        <v>0</v>
      </c>
    </row>
    <row r="19" customFormat="false" ht="29.85" hidden="false" customHeight="false" outlineLevel="0" collapsed="false">
      <c r="A19" s="6" t="s">
        <v>2214</v>
      </c>
      <c r="B19" s="60" t="s">
        <v>1750</v>
      </c>
      <c r="C19" s="111" t="n">
        <f aca="false">IF(ISNUMBER(INDEX(IF_TokGW_Luna,1,C$17)),IF(INDEX(IF_TokGW_Luna,1,C$17)&gt;0,1,0),0)</f>
        <v>1</v>
      </c>
      <c r="D19" s="111" t="n">
        <f aca="false">IF(ISNUMBER(INDEX(IF_TokGW_Luna,1,D$17)),IF(INDEX(IF_TokGW_Luna,1,D$17)&gt;0,1,0),0)</f>
        <v>1</v>
      </c>
      <c r="E19" s="111" t="n">
        <f aca="false">IF(ISNUMBER(INDEX(IF_TokGW_Luna,1,E$17)),IF(INDEX(IF_TokGW_Luna,1,E$17)&gt;0,1,0),0)</f>
        <v>1</v>
      </c>
      <c r="F19" s="111" t="n">
        <f aca="false">IF(ISNUMBER(INDEX(IF_TokGW_Luna,1,F$17)),IF(INDEX(IF_TokGW_Luna,1,F$17)&gt;0,1,0),0)</f>
        <v>1</v>
      </c>
      <c r="G19" s="73" t="s">
        <v>2215</v>
      </c>
    </row>
    <row r="20" customFormat="false" ht="29.85" hidden="false" customHeight="false" outlineLevel="0" collapsed="false">
      <c r="A20" s="6" t="s">
        <v>2216</v>
      </c>
      <c r="B20" s="60" t="s">
        <v>1750</v>
      </c>
      <c r="C20" s="111" t="n">
        <f aca="false">IF(ISNUMBER(INDEX(IF_TokGW_Sol,1,C$17)),IF(INDEX(IF_TokGW_Sol,1,C$17)&gt;0,1,0),0)</f>
        <v>1</v>
      </c>
      <c r="D20" s="111" t="n">
        <f aca="false">IF(ISNUMBER(INDEX(IF_TokGW_Sol,1,D$17)),IF(INDEX(IF_TokGW_Sol,1,D$17)&gt;0,1,0),0)</f>
        <v>1</v>
      </c>
      <c r="E20" s="111" t="n">
        <f aca="false">IF(ISNUMBER(INDEX(IF_TokGW_Sol,1,E$17)),IF(INDEX(IF_TokGW_Sol,1,E$17)&gt;0,1,0),0)</f>
        <v>1</v>
      </c>
      <c r="F20" s="111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2217</v>
      </c>
      <c r="B21" s="60" t="s">
        <v>1750</v>
      </c>
      <c r="C21" s="111" t="n">
        <f aca="false">IF(ISNUMBER(INDEX(IF_TokGW_Astra,1,C$17)),IF(INDEX(IF_TokGW_Astra,1,C$17)&gt;0,1,0),0)</f>
        <v>0</v>
      </c>
      <c r="D21" s="111" t="n">
        <f aca="false">IF(ISNUMBER(INDEX(IF_TokGW_Astra,1,D$17)),IF(INDEX(IF_TokGW_Astra,1,D$17)&gt;0,1,0),0)</f>
        <v>1</v>
      </c>
      <c r="E21" s="111" t="n">
        <f aca="false">IF(ISNUMBER(INDEX(IF_TokGW_Astra,1,E$17)),IF(INDEX(IF_TokGW_Astra,1,E$17)&gt;0,1,0),0)</f>
        <v>1</v>
      </c>
      <c r="F21" s="111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2218</v>
      </c>
      <c r="B22" s="61" t="s">
        <v>99</v>
      </c>
      <c r="C22" s="103" t="n">
        <f aca="false">INDEX(B4_MixPaid,1,1)*C19+INDEX(B4_MixPaid,1,2)*C20+INDEX(B4_MixPaid,1,3)*C21</f>
        <v>0.85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73" t="s">
        <v>2219</v>
      </c>
    </row>
    <row r="23" customFormat="false" ht="15" hidden="false" customHeight="false" outlineLevel="0" collapsed="false">
      <c r="A23" s="5" t="s">
        <v>2220</v>
      </c>
      <c r="B23" s="61" t="s">
        <v>99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73" t="s">
        <v>2221</v>
      </c>
    </row>
    <row r="24" customFormat="false" ht="15" hidden="false" customHeight="false" outlineLevel="0" collapsed="false">
      <c r="A24" s="5" t="s">
        <v>2222</v>
      </c>
      <c r="B24" s="61" t="s">
        <v>99</v>
      </c>
      <c r="C24" s="103" t="n">
        <f aca="false">SUM(B4_MixPaid)-C22</f>
        <v>0.15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73" t="s">
        <v>2223</v>
      </c>
    </row>
    <row r="25" customFormat="false" ht="15" hidden="false" customHeight="false" outlineLevel="0" collapsed="false">
      <c r="A25" s="5" t="s">
        <v>2224</v>
      </c>
      <c r="B25" s="61" t="s">
        <v>99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</row>
    <row r="26" customFormat="false" ht="29.85" hidden="false" customHeight="false" outlineLevel="0" collapsed="false">
      <c r="A26" s="5" t="s">
        <v>2225</v>
      </c>
      <c r="B26" s="60" t="s">
        <v>1750</v>
      </c>
      <c r="C26" s="111" t="n">
        <f aca="false">IF(AND(C22&gt;0,C23&gt;0),1,0)</f>
        <v>1</v>
      </c>
      <c r="D26" s="111" t="n">
        <f aca="false">IF(AND(D22&gt;0,D23&gt;0),1,0)</f>
        <v>1</v>
      </c>
      <c r="E26" s="111" t="n">
        <f aca="false">IF(AND(E22&gt;0,E23&gt;0),1,0)</f>
        <v>1</v>
      </c>
      <c r="F26" s="111" t="n">
        <f aca="false">IF(AND(F22&gt;0,F23&gt;0),1,0)</f>
        <v>1</v>
      </c>
    </row>
    <row r="27" customFormat="false" ht="15" hidden="false" customHeight="false" outlineLevel="0" collapsed="false">
      <c r="A27" s="6" t="s">
        <v>2226</v>
      </c>
      <c r="B27" s="61" t="s">
        <v>2227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3.5814574407564E-011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1.2910091701029E-011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9.91638315292966E-012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5.34557372082433E-012</v>
      </c>
      <c r="G27" s="73" t="s">
        <v>2228</v>
      </c>
    </row>
    <row r="28" customFormat="false" ht="15" hidden="false" customHeight="false" outlineLevel="0" collapsed="false">
      <c r="A28" s="6" t="s">
        <v>2229</v>
      </c>
      <c r="B28" s="61" t="s">
        <v>2227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1.94272971360549E-011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3.44446236031014E-012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2.36590362596111E-012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1.58605881020189E-012</v>
      </c>
    </row>
    <row r="29" customFormat="false" ht="15" hidden="false" customHeight="false" outlineLevel="0" collapsed="false">
      <c r="A29" s="5" t="s">
        <v>2230</v>
      </c>
      <c r="B29" s="61" t="s">
        <v>1359</v>
      </c>
      <c r="C29" s="67" t="n">
        <f aca="false">IF(C26=1,IF_Util/C27,"SLO 不可達")</f>
        <v>16752956301.3118</v>
      </c>
      <c r="D29" s="67" t="n">
        <f aca="false">IF(D26=1,IF_Util/D27,"SLO 不可達")</f>
        <v>46475270191.3169</v>
      </c>
      <c r="E29" s="67" t="n">
        <f aca="false">IF(E26=1,IF_Util/E27,"SLO 不可達")</f>
        <v>60505931522.2948</v>
      </c>
      <c r="F29" s="67" t="n">
        <f aca="false">IF(F26=1,IF_Util/F27,"SLO 不可達")</f>
        <v>112242395547.297</v>
      </c>
      <c r="G29" s="73" t="s">
        <v>2231</v>
      </c>
    </row>
    <row r="30" customFormat="false" ht="15" hidden="false" customHeight="false" outlineLevel="0" collapsed="false">
      <c r="A30" s="5" t="s">
        <v>2232</v>
      </c>
      <c r="B30" s="61" t="s">
        <v>1359</v>
      </c>
      <c r="C30" s="67" t="n">
        <f aca="false">IF(C26=1,IF_Util/C28,"SLO 不可達")</f>
        <v>30884378603.8803</v>
      </c>
      <c r="D30" s="67" t="n">
        <f aca="false">IF(D26=1,IF_Util/D28,"SLO 不可達")</f>
        <v>174192642344.907</v>
      </c>
      <c r="E30" s="67" t="n">
        <f aca="false">IF(E26=1,IF_Util/E28,"SLO 不可達")</f>
        <v>253602891265.81</v>
      </c>
      <c r="F30" s="67" t="n">
        <f aca="false">IF(F26=1,IF_Util/F28,"SLO 不可達")</f>
        <v>378296186837.881</v>
      </c>
      <c r="G30" s="73" t="s">
        <v>2233</v>
      </c>
    </row>
    <row r="31" customFormat="false" ht="15" hidden="false" customHeight="false" outlineLevel="0" collapsed="false">
      <c r="A31" s="5" t="s">
        <v>2234</v>
      </c>
      <c r="B31" s="61" t="s">
        <v>99</v>
      </c>
      <c r="C31" s="103" t="n">
        <f aca="false">(IF(AND(C$18&gt;0,C$26=1),C$18,0)+IF(AND(D$18&gt;0,D$26=1),D$18,0)+IF(AND(E$18&gt;0,E$26=1),E$18,0)+IF(AND(F$18&gt;0,F$26=1),F$18,0))</f>
        <v>1</v>
      </c>
      <c r="G31" s="73" t="s">
        <v>2235</v>
      </c>
    </row>
    <row r="32" customFormat="false" ht="15" hidden="false" customHeight="false" outlineLevel="0" collapsed="false">
      <c r="A32" s="5" t="s">
        <v>2236</v>
      </c>
      <c r="B32" s="61" t="s">
        <v>99</v>
      </c>
      <c r="C32" s="103" t="n">
        <f aca="false">SUM(C18:F18)-C31</f>
        <v>0</v>
      </c>
    </row>
    <row r="33" customFormat="false" ht="29.85" hidden="false" customHeight="false" outlineLevel="0" collapsed="false">
      <c r="A33" s="5" t="s">
        <v>2237</v>
      </c>
      <c r="B33" s="61" t="s">
        <v>1359</v>
      </c>
      <c r="C33" s="67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28641881857.3138</v>
      </c>
    </row>
    <row r="34" customFormat="false" ht="15" hidden="false" customHeight="false" outlineLevel="0" collapsed="false">
      <c r="A34" s="5" t="s">
        <v>2238</v>
      </c>
      <c r="B34" s="61" t="s">
        <v>1359</v>
      </c>
      <c r="C34" s="67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88207684100.2911</v>
      </c>
    </row>
    <row r="35" customFormat="false" ht="15" hidden="false" customHeight="false" outlineLevel="0" collapsed="false">
      <c r="A35" s="5" t="s">
        <v>2239</v>
      </c>
      <c r="B35" s="61" t="s">
        <v>91</v>
      </c>
      <c r="C35" s="72" t="n">
        <f aca="false">IF(AL_BlendPaid="整代不可達","整代不可達",IF(AND(ISNUMBER(AL_BlendPaid),AL_DPaid&gt;=0),IF(AL_BlendPaid&gt;0,AL_DPaid/AL_BlendPaid,"SLO 不可達"),"SLO 不可達"))</f>
        <v>0.133552677127017</v>
      </c>
    </row>
    <row r="36" customFormat="false" ht="15" hidden="false" customHeight="false" outlineLevel="0" collapsed="false">
      <c r="A36" s="5" t="s">
        <v>2240</v>
      </c>
      <c r="B36" s="61" t="s">
        <v>91</v>
      </c>
      <c r="C36" s="72" t="n">
        <f aca="false">IF(AL_BlendFree="整代不可達","整代不可達",IF(AND(ISNUMBER(AL_BlendFree),AL_DFree&gt;=0),IF(AL_BlendFree&gt;0,AL_DFree/AL_BlendFree,"SLO 不可達"),"SLO 不可達"))</f>
        <v>0.0248277689448234</v>
      </c>
    </row>
    <row r="37" customFormat="false" ht="15" hidden="false" customHeight="false" outlineLevel="0" collapsed="false">
      <c r="A37" s="5" t="s">
        <v>2241</v>
      </c>
      <c r="B37" s="61" t="s">
        <v>91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0.15838044607184</v>
      </c>
    </row>
    <row r="38" customFormat="false" ht="29.85" hidden="false" customHeight="false" outlineLevel="0" collapsed="false">
      <c r="A38" s="5" t="s">
        <v>2242</v>
      </c>
      <c r="B38" s="61" t="s">
        <v>91</v>
      </c>
      <c r="C38" s="72" t="n">
        <f aca="false">IF(AL_ServeGW="整代不可達","整代不可達",IF(AND(ISNUMBER(AL_ServeGW),AL_GenShareOK&gt;0),AL_ServeGW*IF(C26=1,C18/AL_GenShareOK,0),"SLO 不可達"))</f>
        <v>0.0950282676431042</v>
      </c>
      <c r="D38" s="72" t="n">
        <f aca="false">IF(AL_ServeGW="整代不可達","整代不可達",IF(AND(ISNUMBER(AL_ServeGW),AL_GenShareOK&gt;0),AL_ServeGW*IF(D26=1,D18/AL_GenShareOK,0),"SLO 不可達"))</f>
        <v>0.0633521784287361</v>
      </c>
      <c r="E38" s="72" t="n">
        <f aca="false">IF(AL_ServeGW="整代不可達","整代不可達",IF(AND(ISNUMBER(AL_ServeGW),AL_GenShareOK&gt;0),AL_ServeGW*IF(E26=1,E18/AL_GenShareOK,0),"SLO 不可達"))</f>
        <v>0</v>
      </c>
      <c r="F38" s="72" t="n">
        <f aca="false">IF(AL_ServeGW="整代不可達","整代不可達",IF(AND(ISNUMBER(AL_ServeGW),AL_GenShareOK&gt;0),AL_ServeGW*IF(F26=1,F18/AL_GenShareOK,0),"SLO 不可達"))</f>
        <v>0</v>
      </c>
    </row>
    <row r="39" customFormat="false" ht="15" hidden="false" customHeight="false" outlineLevel="0" collapsed="false">
      <c r="A39" s="5" t="s">
        <v>2243</v>
      </c>
      <c r="B39" s="61" t="s">
        <v>1560</v>
      </c>
      <c r="C39" s="114" t="n">
        <f aca="false">INDEX(IF_HoldEcon,1,C17)</f>
        <v>9.70308728611469</v>
      </c>
      <c r="D39" s="114" t="n">
        <f aca="false">INDEX(IF_HoldEcon,1,D17)</f>
        <v>8.82816556596761</v>
      </c>
      <c r="E39" s="114" t="n">
        <f aca="false">INDEX(IF_HoldEcon,1,E17)</f>
        <v>10.8864110021101</v>
      </c>
      <c r="F39" s="114" t="n">
        <f aca="false">INDEX(IF_HoldEcon,1,F17)</f>
        <v>12.2254710045841</v>
      </c>
    </row>
    <row r="41" customFormat="false" ht="15" hidden="false" customHeight="false" outlineLevel="0" collapsed="false">
      <c r="A41" s="75" t="s">
        <v>2244</v>
      </c>
      <c r="B41" s="69"/>
      <c r="C41" s="69"/>
      <c r="D41" s="69"/>
      <c r="E41" s="69"/>
      <c r="F41" s="69"/>
      <c r="G41" s="69"/>
    </row>
    <row r="42" customFormat="false" ht="15" hidden="false" customHeight="false" outlineLevel="0" collapsed="false">
      <c r="A42" s="5" t="s">
        <v>2245</v>
      </c>
      <c r="B42" s="60" t="s">
        <v>945</v>
      </c>
      <c r="C42" s="111" t="n">
        <f aca="false">IF_TrainGenDefault</f>
        <v>4</v>
      </c>
    </row>
    <row r="43" customFormat="false" ht="15" hidden="false" customHeight="false" outlineLevel="0" collapsed="false">
      <c r="A43" s="6" t="s">
        <v>2246</v>
      </c>
      <c r="B43" s="60" t="s">
        <v>945</v>
      </c>
      <c r="C43" s="111" t="n">
        <f aca="false">3*(AL_TrainGen-1)+2</f>
        <v>11</v>
      </c>
    </row>
    <row r="44" customFormat="false" ht="15" hidden="false" customHeight="false" outlineLevel="0" collapsed="false">
      <c r="A44" s="59" t="s">
        <v>722</v>
      </c>
      <c r="C44" s="10" t="s">
        <v>262</v>
      </c>
      <c r="D44" s="10" t="s">
        <v>263</v>
      </c>
      <c r="E44" s="10" t="s">
        <v>264</v>
      </c>
      <c r="F44" s="59" t="s">
        <v>2247</v>
      </c>
    </row>
    <row r="45" customFormat="false" ht="15" hidden="false" customHeight="false" outlineLevel="0" collapsed="false">
      <c r="A45" s="5" t="s">
        <v>723</v>
      </c>
      <c r="B45" s="60" t="s">
        <v>945</v>
      </c>
      <c r="C45" s="111" t="n">
        <v>1</v>
      </c>
      <c r="D45" s="111" t="n">
        <v>2</v>
      </c>
      <c r="E45" s="111" t="n">
        <v>3</v>
      </c>
    </row>
    <row r="46" customFormat="false" ht="29.85" hidden="false" customHeight="false" outlineLevel="0" collapsed="false">
      <c r="A46" s="5" t="s">
        <v>2248</v>
      </c>
      <c r="B46" s="61" t="s">
        <v>2249</v>
      </c>
      <c r="C46" s="72" t="n">
        <f aca="false">INDEX(IF_ProgGWyr_Luna,1,AL_TrainCol)</f>
        <v>0.00220433968028437</v>
      </c>
      <c r="D46" s="72" t="n">
        <f aca="false">INDEX(IF_ProgGWyr_Sol,1,AL_TrainCol)</f>
        <v>0.00642112099901794</v>
      </c>
      <c r="E46" s="72" t="n">
        <f aca="false">INDEX(IF_ProgGWyr_Astra,1,AL_TrainCol)</f>
        <v>0.0400178434586299</v>
      </c>
      <c r="F46" s="72" t="n">
        <f aca="false">IF(COUNT(C46:E46)=3,SUM(C46:E46),"SLO 不可達")</f>
        <v>0.0486433041379322</v>
      </c>
      <c r="G46" s="73" t="s">
        <v>2250</v>
      </c>
    </row>
    <row r="47" customFormat="false" ht="15" hidden="false" customHeight="false" outlineLevel="0" collapsed="false">
      <c r="A47" s="5" t="s">
        <v>2251</v>
      </c>
      <c r="B47" s="61" t="s">
        <v>1023</v>
      </c>
      <c r="C47" s="62" t="n">
        <f aca="false">INDEX(Training!$C$104:$Q$104,3*(AL_TrainGen-1)+C45)</f>
        <v>117217.93801916</v>
      </c>
      <c r="D47" s="62" t="n">
        <f aca="false">INDEX(Training!$C$104:$Q$104,3*(AL_TrainGen-1)+D45)</f>
        <v>411736.625794877</v>
      </c>
      <c r="E47" s="62" t="n">
        <f aca="false">INDEX(Training!$C$104:$Q$104,3*(AL_TrainGen-1)+E45)</f>
        <v>6186311.43998631</v>
      </c>
      <c r="F47" s="67" t="n">
        <f aca="false">IF(COUNT(C47:E47)=3,SUM(C47:E47),"SLO 不可達")</f>
        <v>6715266.00380034</v>
      </c>
      <c r="G47" s="58" t="s">
        <v>2252</v>
      </c>
    </row>
    <row r="48" customFormat="false" ht="15" hidden="false" customHeight="false" outlineLevel="0" collapsed="false">
      <c r="A48" s="5" t="s">
        <v>2253</v>
      </c>
      <c r="B48" s="60" t="s">
        <v>735</v>
      </c>
      <c r="C48" s="62" t="n">
        <f aca="false">INDEX(Training!$C$18:$Q$18,3*(AL_TrainGen-1)+C45)</f>
        <v>291744</v>
      </c>
      <c r="D48" s="62" t="n">
        <f aca="false">INDEX(Training!$C$18:$Q$18,3*(AL_TrainGen-1)+D45)</f>
        <v>291744</v>
      </c>
      <c r="E48" s="62" t="n">
        <f aca="false">INDEX(Training!$C$18:$Q$18,3*(AL_TrainGen-1)+E45)</f>
        <v>291744</v>
      </c>
    </row>
    <row r="49" customFormat="false" ht="29.85" hidden="false" customHeight="false" outlineLevel="0" collapsed="false">
      <c r="A49" s="5" t="s">
        <v>2254</v>
      </c>
      <c r="B49" s="61" t="s">
        <v>2249</v>
      </c>
      <c r="C49" s="72" t="n">
        <f aca="false">IF(ISNUMBER(C47),C47*IF_RDMult/(C48*8760),C47)</f>
        <v>0.000366925610202704</v>
      </c>
      <c r="D49" s="72" t="n">
        <f aca="false">IF(ISNUMBER(D47),D47*IF_RDMult/(D48*8760),D47)</f>
        <v>0.00128885318421053</v>
      </c>
      <c r="E49" s="72" t="n">
        <f aca="false">IF(ISNUMBER(E47),E47*IF_RDMult/(E48*8760),E47)</f>
        <v>0.0193649209189288</v>
      </c>
      <c r="F49" s="72" t="n">
        <f aca="false">IF(COUNT(C49:E49)=3,SUM(C49:E49),"SLO 不可達")</f>
        <v>0.0210206997133421</v>
      </c>
      <c r="G49" s="73" t="s">
        <v>2255</v>
      </c>
    </row>
    <row r="50" customFormat="false" ht="15" hidden="false" customHeight="false" outlineLevel="0" collapsed="false">
      <c r="A50" s="5" t="s">
        <v>2256</v>
      </c>
      <c r="B50" s="61" t="s">
        <v>2249</v>
      </c>
      <c r="C50" s="152" t="n">
        <f aca="false">IF(AND(ISNUMBER(AL_FamGWyr),ISNUMBER(AL_RefGWyr)),AL_k*(AL_Nmajor*AL_FamGWyr+AL_Nrefresh*AL_RefGWyr),"SLO 不可達")</f>
        <v>0.0906847035646163</v>
      </c>
    </row>
    <row r="51" customFormat="false" ht="15" hidden="false" customHeight="false" outlineLevel="0" collapsed="false">
      <c r="A51" s="5" t="s">
        <v>2257</v>
      </c>
      <c r="B51" s="61" t="s">
        <v>2249</v>
      </c>
      <c r="C51" s="72" t="n">
        <f aca="false">IF(ISNUMBER(AL_RDGW),AL_RDGW*(1+AL_g),"SLO 不可達")</f>
        <v>0.0906847035646163</v>
      </c>
    </row>
    <row r="52" customFormat="false" ht="15" hidden="false" customHeight="false" outlineLevel="0" collapsed="false">
      <c r="A52" s="5" t="s">
        <v>2258</v>
      </c>
      <c r="B52" s="61" t="s">
        <v>1560</v>
      </c>
      <c r="C52" s="114" t="n">
        <f aca="false">INDEX(IF_HoldEcon,1,AL_TrainCol)</f>
        <v>12.2254710045841</v>
      </c>
    </row>
    <row r="53" customFormat="false" ht="15" hidden="false" customHeight="false" outlineLevel="0" collapsed="false">
      <c r="A53" s="5" t="s">
        <v>2259</v>
      </c>
      <c r="B53" s="61" t="s">
        <v>1814</v>
      </c>
      <c r="C53" s="114" t="n">
        <f aca="false">IF(ISNUMBER(AL_RDGW),AL_RDGW*AL_HoldTrain,"SLO 不可達")</f>
        <v>1.10866321398852</v>
      </c>
    </row>
    <row r="55" customFormat="false" ht="15" hidden="false" customHeight="false" outlineLevel="0" collapsed="false">
      <c r="A55" s="75" t="s">
        <v>2260</v>
      </c>
      <c r="B55" s="69"/>
      <c r="C55" s="69"/>
      <c r="D55" s="69"/>
      <c r="E55" s="69"/>
      <c r="F55" s="69"/>
      <c r="G55" s="69"/>
    </row>
    <row r="56" customFormat="false" ht="15" hidden="false" customHeight="false" outlineLevel="0" collapsed="false">
      <c r="A56" s="6" t="s">
        <v>2261</v>
      </c>
      <c r="B56" s="61" t="s">
        <v>99</v>
      </c>
      <c r="C56" s="101" t="n">
        <f aca="false">IF(AL_ServeGW="整代不可達","整代不可達",IF(AND(ISNUMBER(AL_ServeGW),ISNUMBER(AL_RDGW)),AL_RDGW/(AL_RDGW+AL_ServeGW),"SLO 不可達"))</f>
        <v>0.364100331567795</v>
      </c>
    </row>
    <row r="57" customFormat="false" ht="26.85" hidden="false" customHeight="false" outlineLevel="0" collapsed="false">
      <c r="A57" s="6" t="s">
        <v>2262</v>
      </c>
      <c r="B57" s="61" t="s">
        <v>99</v>
      </c>
      <c r="C57" s="103" t="n">
        <f aca="false">IF(AL_ServeGW="整代不可達","整代不可達",IF(AND(ISNUMBER(AL_ServeGW),ISNUMBER(AL_RDGW)),(AL_RDGW+AL_ServeGWFree)/(AL_RDGW+AL_ServeGW),"SLO 不可達"))</f>
        <v>0.463784165219604</v>
      </c>
    </row>
    <row r="58" customFormat="false" ht="29.85" hidden="false" customHeight="false" outlineLevel="0" collapsed="false">
      <c r="A58" s="6" t="s">
        <v>2263</v>
      </c>
      <c r="B58" s="61" t="s">
        <v>99</v>
      </c>
      <c r="C58" s="101" t="n">
        <f aca="false">IF(AL_ServeGW="整代不可達","整代不可達",IF(AND(ISNUMBER(AL_ServeGW),ISNUMBER(AL_RDGW)),AL_RDGW*AL_HoldTrain/(AL_RDGW*AL_HoldTrain+SUMPRODUCT(AL_ServeGen,AL_HoldGen)),"SLO 不可達"))</f>
        <v>0.428052929990199</v>
      </c>
      <c r="G58" s="73" t="s">
        <v>2264</v>
      </c>
    </row>
    <row r="59" customFormat="false" ht="15" hidden="false" customHeight="false" outlineLevel="0" collapsed="false">
      <c r="A59" s="6" t="s">
        <v>2265</v>
      </c>
      <c r="B59" s="61" t="s">
        <v>99</v>
      </c>
      <c r="C59" s="103" t="n">
        <f aca="false">IF(AL_ServeGW="整代不可達","整代不可達",IF(AND(ISNUMBER(AL_ServeGW),ISNUMBER(AL_RDGWg)),AL_RDGWg/(AL_RDGWg+AL_ServeGW),"SLO 不可達"))</f>
        <v>0.364100331567795</v>
      </c>
    </row>
    <row r="60" customFormat="false" ht="15" hidden="false" customHeight="false" outlineLevel="0" collapsed="false">
      <c r="A60" s="6" t="s">
        <v>2266</v>
      </c>
      <c r="B60" s="61" t="s">
        <v>99</v>
      </c>
      <c r="C60" s="103" t="n">
        <f aca="false">IF(AL_ServeGW="整代不可達","整代不可達",IF(AND(ISNUMBER(AL_ServeGW),ISNUMBER(AL_RDGWg)),AL_RDGWg*AL_HoldTrain/(AL_RDGWg*AL_HoldTrain+SUMPRODUCT(AL_ServeGen,AL_HoldGen)),"SLO 不可達"))</f>
        <v>0.428052929990199</v>
      </c>
    </row>
    <row r="61" customFormat="false" ht="15" hidden="false" customHeight="false" outlineLevel="0" collapsed="false">
      <c r="A61" s="6" t="s">
        <v>2267</v>
      </c>
      <c r="B61" s="60"/>
      <c r="C61" s="60" t="s">
        <v>2268</v>
      </c>
      <c r="G61" s="58" t="s">
        <v>2269</v>
      </c>
    </row>
    <row r="63" customFormat="false" ht="15" hidden="false" customHeight="false" outlineLevel="0" collapsed="false">
      <c r="A63" s="75" t="s">
        <v>2270</v>
      </c>
      <c r="B63" s="69"/>
      <c r="C63" s="69"/>
      <c r="D63" s="69"/>
      <c r="E63" s="69"/>
      <c r="F63" s="69"/>
      <c r="G63" s="69"/>
    </row>
    <row r="64" customFormat="false" ht="15" hidden="false" customHeight="false" outlineLevel="0" collapsed="false">
      <c r="A64" s="6" t="s">
        <v>2271</v>
      </c>
      <c r="B64" s="61" t="s">
        <v>99</v>
      </c>
      <c r="C64" s="103" t="n">
        <f aca="false">SRC_DEM_006/(SRC_DEM_004+SRC_DEM_006)</f>
        <v>0.588235294117647</v>
      </c>
      <c r="G64" s="58" t="s">
        <v>2272</v>
      </c>
    </row>
    <row r="65" customFormat="false" ht="15" hidden="false" customHeight="false" outlineLevel="0" collapsed="false">
      <c r="A65" s="5" t="s">
        <v>2273</v>
      </c>
      <c r="B65" s="61" t="s">
        <v>91</v>
      </c>
      <c r="C65" s="72" t="n">
        <f aca="false">IF(AL_ServeGW="整代不可達","整代不可達",IF(ISNUMBER(AL_ServeGW),AL_SpendRatio/(1-AL_SpendRatio)*AL_ServeGW,"SLO 不可達"))</f>
        <v>0.226257780102629</v>
      </c>
    </row>
    <row r="66" customFormat="false" ht="15" hidden="false" customHeight="false" outlineLevel="0" collapsed="false">
      <c r="A66" s="5" t="s">
        <v>2274</v>
      </c>
      <c r="B66" s="60" t="s">
        <v>329</v>
      </c>
      <c r="C66" s="104" t="n">
        <f aca="false">IF(AL_ImpliedRDGW="整代不可達","整代不可達",IF(AND(ISNUMBER(AL_ImpliedRDGW),ISNUMBER(AL_FamGWyr)),AL_ImpliedRDGW/AL_FamGWyr,"SLO 不可達"))</f>
        <v>4.65136536492373</v>
      </c>
    </row>
    <row r="67" customFormat="false" ht="15" hidden="false" customHeight="false" outlineLevel="0" collapsed="false">
      <c r="A67" s="6" t="s">
        <v>2275</v>
      </c>
      <c r="B67" s="61" t="s">
        <v>103</v>
      </c>
      <c r="C67" s="76" t="n">
        <f aca="false">IF(AL_ImpliedNk="整代不可達","整代不可達",IF(AND(ISNUMBER(AL_ImpliedNk),ISNUMBER(AL_RefGWyr),ISNUMBER(AL_FamGWyr)),AL_ImpliedNk/(AL_Nmajor+AL_Nrefresh*AL_RefGWyr/AL_FamGWyr),"SLO 不可達"))</f>
        <v>2.49499387668409</v>
      </c>
      <c r="G67" s="73" t="s">
        <v>2276</v>
      </c>
    </row>
    <row r="69" customFormat="false" ht="15" hidden="false" customHeight="false" outlineLevel="0" collapsed="false">
      <c r="A69" s="75" t="s">
        <v>2277</v>
      </c>
      <c r="B69" s="69"/>
      <c r="C69" s="69"/>
      <c r="D69" s="69"/>
      <c r="E69" s="69"/>
      <c r="F69" s="69"/>
      <c r="G69" s="69"/>
    </row>
    <row r="70" customFormat="false" ht="29.85" hidden="false" customHeight="false" outlineLevel="0" collapsed="false">
      <c r="A70" s="5" t="s">
        <v>2278</v>
      </c>
      <c r="B70" s="61" t="s">
        <v>91</v>
      </c>
      <c r="C70" s="72" t="n">
        <f aca="false">SRC_DEM_004/SUMPRODUCT(AL_ShareGen,AL_HoldGen)</f>
        <v>0.89809617101894</v>
      </c>
      <c r="G70" s="73" t="s">
        <v>2279</v>
      </c>
    </row>
    <row r="71" customFormat="false" ht="29.85" hidden="false" customHeight="false" outlineLevel="0" collapsed="false">
      <c r="A71" s="5" t="s">
        <v>2280</v>
      </c>
      <c r="B71" s="61" t="s">
        <v>91</v>
      </c>
      <c r="C71" s="72" t="n">
        <f aca="false">SRC_DEM_018/SUMPRODUCT(AL_ShareGen,AL_HoldGen)</f>
        <v>1.34714425652841</v>
      </c>
      <c r="G71" s="73" t="s">
        <v>2281</v>
      </c>
    </row>
    <row r="72" customFormat="false" ht="15" hidden="false" customHeight="false" outlineLevel="0" collapsed="false">
      <c r="A72" s="5" t="s">
        <v>2282</v>
      </c>
      <c r="B72" s="61" t="s">
        <v>99</v>
      </c>
      <c r="C72" s="103" t="n">
        <f aca="false">IF(AL_ServeGW="整代不可達","整代不可達",IF(ISNUMBER(AL_ServeGW),AL_ServeGWFree/AL_ServeGW,"SLO 不可達"))</f>
        <v>0.156760317075769</v>
      </c>
    </row>
    <row r="73" customFormat="false" ht="15" hidden="false" customHeight="false" outlineLevel="0" collapsed="false">
      <c r="A73" s="5" t="s">
        <v>2283</v>
      </c>
      <c r="B73" s="61" t="s">
        <v>99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2284</v>
      </c>
      <c r="B74" s="61" t="s">
        <v>1309</v>
      </c>
      <c r="C74" s="74" t="n">
        <f aca="false">SRC_DEM_013_Lo</f>
        <v>10</v>
      </c>
    </row>
    <row r="75" customFormat="false" ht="15" hidden="false" customHeight="false" outlineLevel="0" collapsed="false">
      <c r="A75" s="6" t="s">
        <v>2285</v>
      </c>
      <c r="B75" s="61" t="s">
        <v>1309</v>
      </c>
      <c r="C75" s="74" t="n">
        <f aca="false">SRC_DEM_013_Hi</f>
        <v>100</v>
      </c>
    </row>
    <row r="76" customFormat="false" ht="15" hidden="false" customHeight="false" outlineLevel="0" collapsed="false">
      <c r="A76" s="5" t="s">
        <v>2286</v>
      </c>
      <c r="B76" s="60"/>
      <c r="C76" s="60" t="str">
        <f aca="false">IF(AL_DDaily&lt;SRC_DEM_013_Lo,"區間外（低於）",IF(AL_DDaily&gt;SRC_DEM_013_Hi,"區間外（高於）","區間內"))</f>
        <v>區間內</v>
      </c>
    </row>
    <row r="78" customFormat="false" ht="15" hidden="false" customHeight="false" outlineLevel="0" collapsed="false">
      <c r="A78" s="75" t="s">
        <v>2287</v>
      </c>
      <c r="B78" s="69"/>
      <c r="C78" s="69"/>
      <c r="D78" s="69"/>
      <c r="E78" s="69"/>
      <c r="F78" s="69"/>
      <c r="G78" s="69"/>
    </row>
    <row r="79" customFormat="false" ht="15" hidden="false" customHeight="false" outlineLevel="0" collapsed="false">
      <c r="A79" s="73" t="s">
        <v>2288</v>
      </c>
    </row>
    <row r="80" customFormat="false" ht="26.85" hidden="false" customHeight="false" outlineLevel="0" collapsed="false">
      <c r="A80" s="59" t="s">
        <v>829</v>
      </c>
      <c r="B80" s="59" t="s">
        <v>2289</v>
      </c>
      <c r="C80" s="84" t="s">
        <v>2290</v>
      </c>
      <c r="D80" s="84" t="s">
        <v>2291</v>
      </c>
      <c r="E80" s="84" t="s">
        <v>2292</v>
      </c>
      <c r="F80" s="84" t="s">
        <v>2293</v>
      </c>
      <c r="G80" s="83" t="s">
        <v>2294</v>
      </c>
      <c r="H80" s="83" t="s">
        <v>2295</v>
      </c>
      <c r="I80" s="84" t="s">
        <v>2296</v>
      </c>
      <c r="J80" s="84" t="s">
        <v>2297</v>
      </c>
      <c r="K80" s="84" t="s">
        <v>2298</v>
      </c>
      <c r="L80" s="84" t="s">
        <v>2299</v>
      </c>
      <c r="M80" s="83" t="s">
        <v>2300</v>
      </c>
      <c r="N80" s="83" t="s">
        <v>2301</v>
      </c>
      <c r="O80" s="83" t="s">
        <v>2302</v>
      </c>
      <c r="P80" s="83" t="s">
        <v>2303</v>
      </c>
      <c r="Q80" s="83" t="s">
        <v>2304</v>
      </c>
      <c r="R80" s="83" t="s">
        <v>2305</v>
      </c>
      <c r="S80" s="84" t="s">
        <v>2306</v>
      </c>
      <c r="T80" s="84" t="s">
        <v>2307</v>
      </c>
      <c r="U80" s="83" t="s">
        <v>2308</v>
      </c>
      <c r="V80" s="83" t="s">
        <v>2309</v>
      </c>
      <c r="W80" s="83" t="s">
        <v>2310</v>
      </c>
    </row>
    <row r="81" customFormat="false" ht="15" hidden="false" customHeight="false" outlineLevel="0" collapsed="false">
      <c r="A81" s="60" t="s">
        <v>85</v>
      </c>
      <c r="B81" s="61" t="s">
        <v>620</v>
      </c>
      <c r="C81" s="86" t="n">
        <f aca="false">AL_Nmajor</f>
        <v>1</v>
      </c>
      <c r="D81" s="86" t="n">
        <f aca="false">AL_Nrefresh</f>
        <v>2</v>
      </c>
      <c r="E81" s="86" t="n">
        <f aca="false">AL_k</f>
        <v>1</v>
      </c>
      <c r="F81" s="76" t="n">
        <f aca="false">AL_APIratio</f>
        <v>0.75</v>
      </c>
      <c r="G81" s="67" t="n">
        <f aca="false">AL_TokPerPrompt</f>
        <v>4000</v>
      </c>
      <c r="H81" s="85" t="n">
        <f aca="false">AL_FreeShare</f>
        <v>0.6</v>
      </c>
      <c r="I81" s="85" t="n">
        <f aca="false">AL_MixHopper</f>
        <v>0.6</v>
      </c>
      <c r="J81" s="85" t="n">
        <f aca="false">AL_MixGB200</f>
        <v>0.4</v>
      </c>
      <c r="K81" s="85" t="n">
        <f aca="false">AL_MixGB300</f>
        <v>0</v>
      </c>
      <c r="L81" s="85" t="n">
        <f aca="false">AL_MixVR200</f>
        <v>0</v>
      </c>
      <c r="M81" s="67" t="n">
        <f aca="false">SRC_DEM_010*1000000000*525600*F81/1000000+SRC_DEM_012*1000000000*G81*365/1000000*(1-H81)</f>
        <v>3825200000</v>
      </c>
      <c r="N81" s="67" t="n">
        <f aca="false">SRC_DEM_012*1000000000*G81*365/1000000*H81</f>
        <v>2190000000</v>
      </c>
      <c r="O81" s="67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28641881857.3138</v>
      </c>
      <c r="P81" s="67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88207684100.2911</v>
      </c>
      <c r="Q81" s="72" t="n">
        <f aca="false">IF(O81="整代不可達","整代不可達",IF(AND(ISNUMBER(O81),ISNUMBER(P81)),IF(AND(O81&gt;0,P81&gt;0),M81/O81+N81/P81,"SLO 不可達"),"SLO 不可達"))</f>
        <v>0.15838044607184</v>
      </c>
      <c r="R81" s="72" t="n">
        <f aca="false">IF(AND(ISNUMBER(AL_FamGWyr),ISNUMBER(AL_RefGWyr)),E81*(C81*AL_FamGWyr+D81*AL_RefGWyr),"SLO 不可達")</f>
        <v>0.0906847035646163</v>
      </c>
      <c r="S81" s="103" t="n">
        <f aca="false">IF(Q81="整代不可達","整代不可達",IF(AND(ISNUMBER(Q81),ISNUMBER(R81)),R81/(R81+Q81),"SLO 不可達"))</f>
        <v>0.364100331567795</v>
      </c>
      <c r="T81" s="103" t="n">
        <f aca="false">IF(Q81="整代不可達","整代不可達",IF(AND(ISNUMBER(Q81),ISNUMBER(R81)),R81*AL_HoldTrain/(R81*AL_HoldTrain+Q81*(IF(AND(I81&gt;0,$C$26=1),I81*$C$39,0)+IF(AND(J81&gt;0,$D$26=1),J81*$D$39,0)+IF(AND(K81&gt;0,$E$26=1),K81*$E$39,0)+IF(AND(L81&gt;0,$F$26=1),L81*$F$39,0))/(IF(AND(I81&gt;0,$C$26=1),I81,0)+IF(AND(J81&gt;0,$D$26=1),J81,0)+IF(AND(K81&gt;0,$E$26=1),K81,0)+IF(AND(L81&gt;0,$F$26=1),L81,0))),"SLO 不可達"))</f>
        <v>0.428052929990199</v>
      </c>
      <c r="U81" s="114" t="n">
        <f aca="false">IF(ISNUMBER(R81),R81*AL_HoldTrain,"SLO 不可達")</f>
        <v>1.10866321398852</v>
      </c>
      <c r="V81" s="71" t="n">
        <f aca="false">(M81+N81)/365/1000000</f>
        <v>16.48</v>
      </c>
      <c r="W81" s="111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61" t="s">
        <v>2311</v>
      </c>
      <c r="B82" s="61" t="s">
        <v>2290</v>
      </c>
      <c r="C82" s="88" t="n">
        <f aca="false">AL_Nmajor_Lo</f>
        <v>1</v>
      </c>
      <c r="D82" s="86" t="n">
        <f aca="false">AL_Nrefresh</f>
        <v>2</v>
      </c>
      <c r="E82" s="86" t="n">
        <f aca="false">AL_k</f>
        <v>1</v>
      </c>
      <c r="F82" s="76" t="n">
        <f aca="false">AL_APIratio</f>
        <v>0.75</v>
      </c>
      <c r="G82" s="67" t="n">
        <f aca="false">AL_TokPerPrompt</f>
        <v>4000</v>
      </c>
      <c r="H82" s="85" t="n">
        <f aca="false">AL_FreeShare</f>
        <v>0.6</v>
      </c>
      <c r="I82" s="85" t="n">
        <f aca="false">AL_MixHopper</f>
        <v>0.6</v>
      </c>
      <c r="J82" s="85" t="n">
        <f aca="false">AL_MixGB200</f>
        <v>0.4</v>
      </c>
      <c r="K82" s="85" t="n">
        <f aca="false">AL_MixGB300</f>
        <v>0</v>
      </c>
      <c r="L82" s="85" t="n">
        <f aca="false">AL_MixVR200</f>
        <v>0</v>
      </c>
      <c r="M82" s="67" t="n">
        <f aca="false">SRC_DEM_010*1000000000*525600*F82/1000000+SRC_DEM_012*1000000000*G82*365/1000000*(1-H82)</f>
        <v>3825200000</v>
      </c>
      <c r="N82" s="67" t="n">
        <f aca="false">SRC_DEM_012*1000000000*G82*365/1000000*H82</f>
        <v>2190000000</v>
      </c>
      <c r="O82" s="67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28641881857.3138</v>
      </c>
      <c r="P82" s="67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88207684100.2911</v>
      </c>
      <c r="Q82" s="72" t="n">
        <f aca="false">IF(O82="整代不可達","整代不可達",IF(AND(ISNUMBER(O82),ISNUMBER(P82)),IF(AND(O82&gt;0,P82&gt;0),M82/O82+N82/P82,"SLO 不可達"),"SLO 不可達"))</f>
        <v>0.15838044607184</v>
      </c>
      <c r="R82" s="72" t="n">
        <f aca="false">IF(AND(ISNUMBER(AL_FamGWyr),ISNUMBER(AL_RefGWyr)),E82*(C82*AL_FamGWyr+D82*AL_RefGWyr),"SLO 不可達")</f>
        <v>0.0906847035646163</v>
      </c>
      <c r="S82" s="103" t="n">
        <f aca="false">IF(Q82="整代不可達","整代不可達",IF(AND(ISNUMBER(Q82),ISNUMBER(R82)),R82/(R82+Q82),"SLO 不可達"))</f>
        <v>0.364100331567795</v>
      </c>
      <c r="T82" s="103" t="n">
        <f aca="false">IF(Q82="整代不可達","整代不可達",IF(AND(ISNUMBER(Q82),ISNUMBER(R82)),R82*AL_HoldTrain/(R82*AL_HoldTrain+Q82*(IF(AND(I82&gt;0,$C$26=1),I82*$C$39,0)+IF(AND(J82&gt;0,$D$26=1),J82*$D$39,0)+IF(AND(K82&gt;0,$E$26=1),K82*$E$39,0)+IF(AND(L82&gt;0,$F$26=1),L82*$F$39,0))/(IF(AND(I82&gt;0,$C$26=1),I82,0)+IF(AND(J82&gt;0,$D$26=1),J82,0)+IF(AND(K82&gt;0,$E$26=1),K82,0)+IF(AND(L82&gt;0,$F$26=1),L82,0))),"SLO 不可達"))</f>
        <v>0.428052929990199</v>
      </c>
      <c r="U82" s="114" t="n">
        <f aca="false">IF(ISNUMBER(R82),R82*AL_HoldTrain,"SLO 不可達")</f>
        <v>1.10866321398852</v>
      </c>
      <c r="V82" s="71" t="n">
        <f aca="false">(M82+N82)/365/1000000</f>
        <v>16.48</v>
      </c>
      <c r="W82" s="111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61" t="s">
        <v>2312</v>
      </c>
      <c r="B83" s="61" t="s">
        <v>2290</v>
      </c>
      <c r="C83" s="88" t="n">
        <f aca="false">AL_Nmajor_Hi</f>
        <v>2</v>
      </c>
      <c r="D83" s="86" t="n">
        <f aca="false">AL_Nrefresh</f>
        <v>2</v>
      </c>
      <c r="E83" s="86" t="n">
        <f aca="false">AL_k</f>
        <v>1</v>
      </c>
      <c r="F83" s="76" t="n">
        <f aca="false">AL_APIratio</f>
        <v>0.75</v>
      </c>
      <c r="G83" s="67" t="n">
        <f aca="false">AL_TokPerPrompt</f>
        <v>4000</v>
      </c>
      <c r="H83" s="85" t="n">
        <f aca="false">AL_FreeShare</f>
        <v>0.6</v>
      </c>
      <c r="I83" s="85" t="n">
        <f aca="false">AL_MixHopper</f>
        <v>0.6</v>
      </c>
      <c r="J83" s="85" t="n">
        <f aca="false">AL_MixGB200</f>
        <v>0.4</v>
      </c>
      <c r="K83" s="85" t="n">
        <f aca="false">AL_MixGB300</f>
        <v>0</v>
      </c>
      <c r="L83" s="85" t="n">
        <f aca="false">AL_MixVR200</f>
        <v>0</v>
      </c>
      <c r="M83" s="67" t="n">
        <f aca="false">SRC_DEM_010*1000000000*525600*F83/1000000+SRC_DEM_012*1000000000*G83*365/1000000*(1-H83)</f>
        <v>3825200000</v>
      </c>
      <c r="N83" s="67" t="n">
        <f aca="false">SRC_DEM_012*1000000000*G83*365/1000000*H83</f>
        <v>2190000000</v>
      </c>
      <c r="O83" s="67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28641881857.3138</v>
      </c>
      <c r="P83" s="67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88207684100.2911</v>
      </c>
      <c r="Q83" s="72" t="n">
        <f aca="false">IF(O83="整代不可達","整代不可達",IF(AND(ISNUMBER(O83),ISNUMBER(P83)),IF(AND(O83&gt;0,P83&gt;0),M83/O83+N83/P83,"SLO 不可達"),"SLO 不可達"))</f>
        <v>0.15838044607184</v>
      </c>
      <c r="R83" s="72" t="n">
        <f aca="false">IF(AND(ISNUMBER(AL_FamGWyr),ISNUMBER(AL_RefGWyr)),E83*(C83*AL_FamGWyr+D83*AL_RefGWyr),"SLO 不可達")</f>
        <v>0.139328007702549</v>
      </c>
      <c r="S83" s="103" t="n">
        <f aca="false">IF(Q83="整代不可達","整代不可達",IF(AND(ISNUMBER(Q83),ISNUMBER(R83)),R83/(R83+Q83),"SLO 不可達"))</f>
        <v>0.468001516033988</v>
      </c>
      <c r="T83" s="103" t="n">
        <f aca="false">IF(Q83="整代不可達","整代不可達",IF(AND(ISNUMBER(Q83),ISNUMBER(R83)),R83*AL_HoldTrain/(R83*AL_HoldTrain+Q83*(IF(AND(I83&gt;0,$C$26=1),I83*$C$39,0)+IF(AND(J83&gt;0,$D$26=1),J83*$D$39,0)+IF(AND(K83&gt;0,$E$26=1),K83*$E$39,0)+IF(AND(L83&gt;0,$F$26=1),L83*$F$39,0))/(IF(AND(I83&gt;0,$C$26=1),I83,0)+IF(AND(J83&gt;0,$D$26=1),J83,0)+IF(AND(K83&gt;0,$E$26=1),K83,0)+IF(AND(L83&gt;0,$F$26=1),L83,0))),"SLO 不可達"))</f>
        <v>0.534854038066545</v>
      </c>
      <c r="U83" s="114" t="n">
        <f aca="false">IF(ISNUMBER(R83),R83*AL_HoldTrain,"SLO 不可達")</f>
        <v>1.70335051829398</v>
      </c>
      <c r="V83" s="71" t="n">
        <f aca="false">(M83+N83)/365/1000000</f>
        <v>16.48</v>
      </c>
      <c r="W83" s="111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61" t="s">
        <v>2313</v>
      </c>
      <c r="B84" s="61" t="s">
        <v>2291</v>
      </c>
      <c r="C84" s="86" t="n">
        <f aca="false">AL_Nmajor</f>
        <v>1</v>
      </c>
      <c r="D84" s="88" t="n">
        <f aca="false">AL_Nrefresh_Lo</f>
        <v>0</v>
      </c>
      <c r="E84" s="86" t="n">
        <f aca="false">AL_k</f>
        <v>1</v>
      </c>
      <c r="F84" s="76" t="n">
        <f aca="false">AL_APIratio</f>
        <v>0.75</v>
      </c>
      <c r="G84" s="67" t="n">
        <f aca="false">AL_TokPerPrompt</f>
        <v>4000</v>
      </c>
      <c r="H84" s="85" t="n">
        <f aca="false">AL_FreeShare</f>
        <v>0.6</v>
      </c>
      <c r="I84" s="85" t="n">
        <f aca="false">AL_MixHopper</f>
        <v>0.6</v>
      </c>
      <c r="J84" s="85" t="n">
        <f aca="false">AL_MixGB200</f>
        <v>0.4</v>
      </c>
      <c r="K84" s="85" t="n">
        <f aca="false">AL_MixGB300</f>
        <v>0</v>
      </c>
      <c r="L84" s="85" t="n">
        <f aca="false">AL_MixVR200</f>
        <v>0</v>
      </c>
      <c r="M84" s="67" t="n">
        <f aca="false">SRC_DEM_010*1000000000*525600*F84/1000000+SRC_DEM_012*1000000000*G84*365/1000000*(1-H84)</f>
        <v>3825200000</v>
      </c>
      <c r="N84" s="67" t="n">
        <f aca="false">SRC_DEM_012*1000000000*G84*365/1000000*H84</f>
        <v>2190000000</v>
      </c>
      <c r="O84" s="67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28641881857.3138</v>
      </c>
      <c r="P84" s="67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88207684100.2911</v>
      </c>
      <c r="Q84" s="72" t="n">
        <f aca="false">IF(O84="整代不可達","整代不可達",IF(AND(ISNUMBER(O84),ISNUMBER(P84)),IF(AND(O84&gt;0,P84&gt;0),M84/O84+N84/P84,"SLO 不可達"),"SLO 不可達"))</f>
        <v>0.15838044607184</v>
      </c>
      <c r="R84" s="72" t="n">
        <f aca="false">IF(AND(ISNUMBER(AL_FamGWyr),ISNUMBER(AL_RefGWyr)),E84*(C84*AL_FamGWyr+D84*AL_RefGWyr),"SLO 不可達")</f>
        <v>0.0486433041379322</v>
      </c>
      <c r="S84" s="103" t="n">
        <f aca="false">IF(Q84="整代不可達","整代不可達",IF(AND(ISNUMBER(Q84),ISNUMBER(R84)),R84/(R84+Q84),"SLO 不可達"))</f>
        <v>0.23496484866419</v>
      </c>
      <c r="T84" s="103" t="n">
        <f aca="false">IF(Q84="整代不可達","整代不可達",IF(AND(ISNUMBER(Q84),ISNUMBER(R84)),R84*AL_HoldTrain/(R84*AL_HoldTrain+Q84*(IF(AND(I84&gt;0,$C$26=1),I84*$C$39,0)+IF(AND(J84&gt;0,$D$26=1),J84*$D$39,0)+IF(AND(K84&gt;0,$E$26=1),K84*$E$39,0)+IF(AND(L84&gt;0,$F$26=1),L84*$F$39,0))/(IF(AND(I84&gt;0,$C$26=1),I84,0)+IF(AND(J84&gt;0,$D$26=1),J84,0)+IF(AND(K84&gt;0,$E$26=1),K84,0)+IF(AND(L84&gt;0,$F$26=1),L84,0))),"SLO 不可達"))</f>
        <v>0.286452940512724</v>
      </c>
      <c r="U84" s="114" t="n">
        <f aca="false">IF(ISNUMBER(R84),R84*AL_HoldTrain,"SLO 不可達")</f>
        <v>0.594687304305456</v>
      </c>
      <c r="V84" s="71" t="n">
        <f aca="false">(M84+N84)/365/1000000</f>
        <v>16.48</v>
      </c>
      <c r="W84" s="111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61" t="s">
        <v>2314</v>
      </c>
      <c r="B85" s="61" t="s">
        <v>2291</v>
      </c>
      <c r="C85" s="86" t="n">
        <f aca="false">AL_Nmajor</f>
        <v>1</v>
      </c>
      <c r="D85" s="88" t="n">
        <f aca="false">AL_Nrefresh_Hi</f>
        <v>6</v>
      </c>
      <c r="E85" s="86" t="n">
        <f aca="false">AL_k</f>
        <v>1</v>
      </c>
      <c r="F85" s="76" t="n">
        <f aca="false">AL_APIratio</f>
        <v>0.75</v>
      </c>
      <c r="G85" s="67" t="n">
        <f aca="false">AL_TokPerPrompt</f>
        <v>4000</v>
      </c>
      <c r="H85" s="85" t="n">
        <f aca="false">AL_FreeShare</f>
        <v>0.6</v>
      </c>
      <c r="I85" s="85" t="n">
        <f aca="false">AL_MixHopper</f>
        <v>0.6</v>
      </c>
      <c r="J85" s="85" t="n">
        <f aca="false">AL_MixGB200</f>
        <v>0.4</v>
      </c>
      <c r="K85" s="85" t="n">
        <f aca="false">AL_MixGB300</f>
        <v>0</v>
      </c>
      <c r="L85" s="85" t="n">
        <f aca="false">AL_MixVR200</f>
        <v>0</v>
      </c>
      <c r="M85" s="67" t="n">
        <f aca="false">SRC_DEM_010*1000000000*525600*F85/1000000+SRC_DEM_012*1000000000*G85*365/1000000*(1-H85)</f>
        <v>3825200000</v>
      </c>
      <c r="N85" s="67" t="n">
        <f aca="false">SRC_DEM_012*1000000000*G85*365/1000000*H85</f>
        <v>2190000000</v>
      </c>
      <c r="O85" s="67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28641881857.3138</v>
      </c>
      <c r="P85" s="67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88207684100.2911</v>
      </c>
      <c r="Q85" s="72" t="n">
        <f aca="false">IF(O85="整代不可達","整代不可達",IF(AND(ISNUMBER(O85),ISNUMBER(P85)),IF(AND(O85&gt;0,P85&gt;0),M85/O85+N85/P85,"SLO 不可達"),"SLO 不可達"))</f>
        <v>0.15838044607184</v>
      </c>
      <c r="R85" s="72" t="n">
        <f aca="false">IF(AND(ISNUMBER(AL_FamGWyr),ISNUMBER(AL_RefGWyr)),E85*(C85*AL_FamGWyr+D85*AL_RefGWyr),"SLO 不可達")</f>
        <v>0.174767502417984</v>
      </c>
      <c r="S85" s="103" t="n">
        <f aca="false">IF(Q85="整代不可達","整代不可達",IF(AND(ISNUMBER(Q85),ISNUMBER(R85)),R85/(R85+Q85),"SLO 不可達"))</f>
        <v>0.524594262729858</v>
      </c>
      <c r="T85" s="103" t="n">
        <f aca="false">IF(Q85="整代不可達","整代不可達",IF(AND(ISNUMBER(Q85),ISNUMBER(R85)),R85*AL_HoldTrain/(R85*AL_HoldTrain+Q85*(IF(AND(I85&gt;0,$C$26=1),I85*$C$39,0)+IF(AND(J85&gt;0,$D$26=1),J85*$D$39,0)+IF(AND(K85&gt;0,$E$26=1),K85*$E$39,0)+IF(AND(L85&gt;0,$F$26=1),L85*$F$39,0))/(IF(AND(I85&gt;0,$C$26=1),I85,0)+IF(AND(J85&gt;0,$D$26=1),J85,0)+IF(AND(K85&gt;0,$E$26=1),K85,0)+IF(AND(L85&gt;0,$F$26=1),L85,0))),"SLO 不可達"))</f>
        <v>0.59055694750227</v>
      </c>
      <c r="U85" s="114" t="n">
        <f aca="false">IF(ISNUMBER(R85),R85*AL_HoldTrain,"SLO 不可達")</f>
        <v>2.13661503335465</v>
      </c>
      <c r="V85" s="71" t="n">
        <f aca="false">(M85+N85)/365/1000000</f>
        <v>16.48</v>
      </c>
      <c r="W85" s="111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6" customFormat="false" ht="15" hidden="false" customHeight="false" outlineLevel="0" collapsed="false">
      <c r="A86" s="61" t="s">
        <v>2315</v>
      </c>
      <c r="B86" s="61" t="s">
        <v>2292</v>
      </c>
      <c r="C86" s="86" t="n">
        <f aca="false">AL_Nmajor</f>
        <v>1</v>
      </c>
      <c r="D86" s="86" t="n">
        <f aca="false">AL_Nrefresh</f>
        <v>2</v>
      </c>
      <c r="E86" s="88" t="n">
        <f aca="false">AL_k_Lo</f>
        <v>0.5</v>
      </c>
      <c r="F86" s="76" t="n">
        <f aca="false">AL_APIratio</f>
        <v>0.75</v>
      </c>
      <c r="G86" s="67" t="n">
        <f aca="false">AL_TokPerPrompt</f>
        <v>4000</v>
      </c>
      <c r="H86" s="85" t="n">
        <f aca="false">AL_FreeShare</f>
        <v>0.6</v>
      </c>
      <c r="I86" s="85" t="n">
        <f aca="false">AL_MixHopper</f>
        <v>0.6</v>
      </c>
      <c r="J86" s="85" t="n">
        <f aca="false">AL_MixGB200</f>
        <v>0.4</v>
      </c>
      <c r="K86" s="85" t="n">
        <f aca="false">AL_MixGB300</f>
        <v>0</v>
      </c>
      <c r="L86" s="85" t="n">
        <f aca="false">AL_MixVR200</f>
        <v>0</v>
      </c>
      <c r="M86" s="67" t="n">
        <f aca="false">SRC_DEM_010*1000000000*525600*F86/1000000+SRC_DEM_012*1000000000*G86*365/1000000*(1-H86)</f>
        <v>3825200000</v>
      </c>
      <c r="N86" s="67" t="n">
        <f aca="false">SRC_DEM_012*1000000000*G86*365/1000000*H86</f>
        <v>2190000000</v>
      </c>
      <c r="O86" s="67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28641881857.3138</v>
      </c>
      <c r="P86" s="67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88207684100.2911</v>
      </c>
      <c r="Q86" s="72" t="n">
        <f aca="false">IF(O86="整代不可達","整代不可達",IF(AND(ISNUMBER(O86),ISNUMBER(P86)),IF(AND(O86&gt;0,P86&gt;0),M86/O86+N86/P86,"SLO 不可達"),"SLO 不可達"))</f>
        <v>0.15838044607184</v>
      </c>
      <c r="R86" s="72" t="n">
        <f aca="false">IF(AND(ISNUMBER(AL_FamGWyr),ISNUMBER(AL_RefGWyr)),E86*(C86*AL_FamGWyr+D86*AL_RefGWyr),"SLO 不可達")</f>
        <v>0.0453423517823082</v>
      </c>
      <c r="S86" s="103" t="n">
        <f aca="false">IF(Q86="整代不可達","整代不可達",IF(AND(ISNUMBER(Q86),ISNUMBER(R86)),R86/(R86+Q86),"SLO 不可達"))</f>
        <v>0.222568864456545</v>
      </c>
      <c r="T86" s="103" t="n">
        <f aca="false">IF(Q86="整代不可達","整代不可達",IF(AND(ISNUMBER(Q86),ISNUMBER(R86)),R86*AL_HoldTrain/(R86*AL_HoldTrain+Q86*(IF(AND(I86&gt;0,$C$26=1),I86*$C$39,0)+IF(AND(J86&gt;0,$D$26=1),J86*$D$39,0)+IF(AND(K86&gt;0,$E$26=1),K86*$E$39,0)+IF(AND(L86&gt;0,$F$26=1),L86*$F$39,0))/(IF(AND(I86&gt;0,$C$26=1),I86,0)+IF(AND(J86&gt;0,$D$26=1),J86,0)+IF(AND(K86&gt;0,$E$26=1),K86,0)+IF(AND(L86&gt;0,$F$26=1),L86,0))),"SLO 不可達"))</f>
        <v>0.272307470242958</v>
      </c>
      <c r="U86" s="114" t="n">
        <f aca="false">IF(ISNUMBER(R86),R86*AL_HoldTrain,"SLO 不可達")</f>
        <v>0.554331606994261</v>
      </c>
      <c r="V86" s="71" t="n">
        <f aca="false">(M86+N86)/365/1000000</f>
        <v>16.48</v>
      </c>
      <c r="W86" s="111" t="n">
        <f aca="false">IF(AND(ISNUMBER(S102),ISNUMBER(T102),ISNUMBER(AL_Q1),ISNUMBER(AL_Q2)),IF(AND(ABS(S102-AL_Q1)&lt;=0.000000000001,ABS(T102-AL_Q2)&lt;=0.000000000001),0,1),IF(AND(NOT(ISNUMBER(S102)),NOT(ISNUMBER(AL_Q1))),0,1))</f>
        <v>0</v>
      </c>
    </row>
    <row r="87" customFormat="false" ht="15" hidden="false" customHeight="false" outlineLevel="0" collapsed="false">
      <c r="A87" s="61" t="s">
        <v>2316</v>
      </c>
      <c r="B87" s="61" t="s">
        <v>2292</v>
      </c>
      <c r="C87" s="86" t="n">
        <f aca="false">AL_Nmajor</f>
        <v>1</v>
      </c>
      <c r="D87" s="86" t="n">
        <f aca="false">AL_Nrefresh</f>
        <v>2</v>
      </c>
      <c r="E87" s="88" t="n">
        <f aca="false">AL_k_Hi</f>
        <v>7</v>
      </c>
      <c r="F87" s="76" t="n">
        <f aca="false">AL_APIratio</f>
        <v>0.75</v>
      </c>
      <c r="G87" s="67" t="n">
        <f aca="false">AL_TokPerPrompt</f>
        <v>4000</v>
      </c>
      <c r="H87" s="85" t="n">
        <f aca="false">AL_FreeShare</f>
        <v>0.6</v>
      </c>
      <c r="I87" s="85" t="n">
        <f aca="false">AL_MixHopper</f>
        <v>0.6</v>
      </c>
      <c r="J87" s="85" t="n">
        <f aca="false">AL_MixGB200</f>
        <v>0.4</v>
      </c>
      <c r="K87" s="85" t="n">
        <f aca="false">AL_MixGB300</f>
        <v>0</v>
      </c>
      <c r="L87" s="85" t="n">
        <f aca="false">AL_MixVR200</f>
        <v>0</v>
      </c>
      <c r="M87" s="67" t="n">
        <f aca="false">SRC_DEM_010*1000000000*525600*F87/1000000+SRC_DEM_012*1000000000*G87*365/1000000*(1-H87)</f>
        <v>3825200000</v>
      </c>
      <c r="N87" s="67" t="n">
        <f aca="false">SRC_DEM_012*1000000000*G87*365/1000000*H87</f>
        <v>2190000000</v>
      </c>
      <c r="O87" s="67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28641881857.3138</v>
      </c>
      <c r="P87" s="67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88207684100.2911</v>
      </c>
      <c r="Q87" s="72" t="n">
        <f aca="false">IF(O87="整代不可達","整代不可達",IF(AND(ISNUMBER(O87),ISNUMBER(P87)),IF(AND(O87&gt;0,P87&gt;0),M87/O87+N87/P87,"SLO 不可達"),"SLO 不可達"))</f>
        <v>0.15838044607184</v>
      </c>
      <c r="R87" s="72" t="n">
        <f aca="false">IF(AND(ISNUMBER(AL_FamGWyr),ISNUMBER(AL_RefGWyr)),E87*(C87*AL_FamGWyr+D87*AL_RefGWyr),"SLO 不可達")</f>
        <v>0.634792924952314</v>
      </c>
      <c r="S87" s="103" t="n">
        <f aca="false">IF(Q87="整代不可達","整代不可達",IF(AND(ISNUMBER(Q87),ISNUMBER(R87)),R87/(R87+Q87),"SLO 不可達"))</f>
        <v>0.800320520257333</v>
      </c>
      <c r="T87" s="103" t="n">
        <f aca="false">IF(Q87="整代不可達","整代不可達",IF(AND(ISNUMBER(Q87),ISNUMBER(R87)),R87*AL_HoldTrain/(R87*AL_HoldTrain+Q87*(IF(AND(I87&gt;0,$C$26=1),I87*$C$39,0)+IF(AND(J87&gt;0,$D$26=1),J87*$D$39,0)+IF(AND(K87&gt;0,$E$26=1),K87*$E$39,0)+IF(AND(L87&gt;0,$F$26=1),L87*$F$39,0))/(IF(AND(I87&gt;0,$C$26=1),I87,0)+IF(AND(J87&gt;0,$D$26=1),J87,0)+IF(AND(K87&gt;0,$E$26=1),K87,0)+IF(AND(L87&gt;0,$F$26=1),L87,0))),"SLO 不可達"))</f>
        <v>0.839715199895625</v>
      </c>
      <c r="U87" s="114" t="n">
        <f aca="false">IF(ISNUMBER(R87),R87*AL_HoldTrain,"SLO 不可達")</f>
        <v>7.76064249791965</v>
      </c>
      <c r="V87" s="71" t="n">
        <f aca="false">(M87+N87)/365/1000000</f>
        <v>16.48</v>
      </c>
      <c r="W87" s="111" t="n">
        <f aca="false">IF(AND(ISNUMBER(S103),ISNUMBER(T103),ISNUMBER(AL_Q1),ISNUMBER(AL_Q2)),IF(AND(ABS(S103-AL_Q1)&lt;=0.000000000001,ABS(T103-AL_Q2)&lt;=0.000000000001),0,1),IF(AND(NOT(ISNUMBER(S103)),NOT(ISNUMBER(AL_Q1))),0,1))</f>
        <v>0</v>
      </c>
    </row>
    <row r="88" customFormat="false" ht="15" hidden="false" customHeight="false" outlineLevel="0" collapsed="false">
      <c r="A88" s="60" t="s">
        <v>2317</v>
      </c>
      <c r="B88" s="60" t="s">
        <v>2178</v>
      </c>
      <c r="C88" s="86" t="n">
        <f aca="false">AL_Nmajor</f>
        <v>1</v>
      </c>
      <c r="D88" s="86" t="n">
        <f aca="false">AL_Nrefresh</f>
        <v>2</v>
      </c>
      <c r="E88" s="86" t="n">
        <f aca="false">AL_k</f>
        <v>1</v>
      </c>
      <c r="F88" s="76" t="n">
        <f aca="false">AL_APIratio</f>
        <v>0.75</v>
      </c>
      <c r="G88" s="70" t="n">
        <f aca="false">AL_TokPerPrompt_Lo</f>
        <v>2000</v>
      </c>
      <c r="H88" s="85" t="n">
        <f aca="false">AL_FreeShare</f>
        <v>0.6</v>
      </c>
      <c r="I88" s="85" t="n">
        <f aca="false">AL_MixHopper</f>
        <v>0.6</v>
      </c>
      <c r="J88" s="85" t="n">
        <f aca="false">AL_MixGB200</f>
        <v>0.4</v>
      </c>
      <c r="K88" s="85" t="n">
        <f aca="false">AL_MixGB300</f>
        <v>0</v>
      </c>
      <c r="L88" s="85" t="n">
        <f aca="false">AL_MixVR200</f>
        <v>0</v>
      </c>
      <c r="M88" s="67" t="n">
        <f aca="false">SRC_DEM_010*1000000000*525600*F88/1000000+SRC_DEM_012*1000000000*G88*365/1000000*(1-H88)</f>
        <v>3095200000</v>
      </c>
      <c r="N88" s="67" t="n">
        <f aca="false">SRC_DEM_012*1000000000*G88*365/1000000*H88</f>
        <v>1095000000</v>
      </c>
      <c r="O88" s="67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28641881857.3138</v>
      </c>
      <c r="P88" s="67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88207684100.2911</v>
      </c>
      <c r="Q88" s="72" t="n">
        <f aca="false">IF(O88="整代不可達","整代不可達",IF(AND(ISNUMBER(O88),ISNUMBER(P88)),IF(AND(O88&gt;0,P88&gt;0),M88/O88+N88/P88,"SLO 不可達"),"SLO 不可達"))</f>
        <v>0.120479409475952</v>
      </c>
      <c r="R88" s="72" t="n">
        <f aca="false">IF(AND(ISNUMBER(AL_FamGWyr),ISNUMBER(AL_RefGWyr)),E88*(C88*AL_FamGWyr+D88*AL_RefGWyr),"SLO 不可達")</f>
        <v>0.0906847035646163</v>
      </c>
      <c r="S88" s="103" t="n">
        <f aca="false">IF(Q88="整代不可達","整代不可達",IF(AND(ISNUMBER(Q88),ISNUMBER(R88)),R88/(R88+Q88),"SLO 不可達"))</f>
        <v>0.429451303343358</v>
      </c>
      <c r="T88" s="103" t="n">
        <f aca="false">IF(Q88="整代不可達","整代不可達",IF(AND(ISNUMBER(Q88),ISNUMBER(R88)),R88*AL_HoldTrain/(R88*AL_HoldTrain+Q88*(IF(AND(I88&gt;0,$C$26=1),I88*$C$39,0)+IF(AND(J88&gt;0,$D$26=1),J88*$D$39,0)+IF(AND(K88&gt;0,$E$26=1),K88*$E$39,0)+IF(AND(L88&gt;0,$F$26=1),L88*$F$39,0))/(IF(AND(I88&gt;0,$C$26=1),I88,0)+IF(AND(J88&gt;0,$D$26=1),J88,0)+IF(AND(K88&gt;0,$E$26=1),K88,0)+IF(AND(L88&gt;0,$F$26=1),L88,0))),"SLO 不可達"))</f>
        <v>0.495930481518637</v>
      </c>
      <c r="U88" s="114" t="n">
        <f aca="false">IF(ISNUMBER(R88),R88*AL_HoldTrain,"SLO 不可達")</f>
        <v>1.10866321398852</v>
      </c>
      <c r="V88" s="71" t="n">
        <f aca="false">(M88+N88)/365/1000000</f>
        <v>11.48</v>
      </c>
      <c r="W88" s="111" t="n">
        <f aca="false">IF(AND(ISNUMBER(S104),ISNUMBER(T104),ISNUMBER(AL_Q1),ISNUMBER(AL_Q2)),IF(AND(ABS(S104-AL_Q1)&lt;=0.000000000001,ABS(T104-AL_Q2)&lt;=0.000000000001),0,1),IF(AND(NOT(ISNUMBER(S104)),NOT(ISNUMBER(AL_Q1))),0,1))</f>
        <v>0</v>
      </c>
    </row>
    <row r="89" customFormat="false" ht="15" hidden="false" customHeight="false" outlineLevel="0" collapsed="false">
      <c r="A89" s="60" t="s">
        <v>2318</v>
      </c>
      <c r="B89" s="60" t="s">
        <v>2178</v>
      </c>
      <c r="C89" s="86" t="n">
        <f aca="false">AL_Nmajor</f>
        <v>1</v>
      </c>
      <c r="D89" s="86" t="n">
        <f aca="false">AL_Nrefresh</f>
        <v>2</v>
      </c>
      <c r="E89" s="86" t="n">
        <f aca="false">AL_k</f>
        <v>1</v>
      </c>
      <c r="F89" s="76" t="n">
        <f aca="false">AL_APIratio</f>
        <v>0.75</v>
      </c>
      <c r="G89" s="70" t="n">
        <f aca="false">AL_TokPerPrompt_Hi</f>
        <v>11000</v>
      </c>
      <c r="H89" s="85" t="n">
        <f aca="false">AL_FreeShare</f>
        <v>0.6</v>
      </c>
      <c r="I89" s="85" t="n">
        <f aca="false">AL_MixHopper</f>
        <v>0.6</v>
      </c>
      <c r="J89" s="85" t="n">
        <f aca="false">AL_MixGB200</f>
        <v>0.4</v>
      </c>
      <c r="K89" s="85" t="n">
        <f aca="false">AL_MixGB300</f>
        <v>0</v>
      </c>
      <c r="L89" s="85" t="n">
        <f aca="false">AL_MixVR200</f>
        <v>0</v>
      </c>
      <c r="M89" s="67" t="n">
        <f aca="false">SRC_DEM_010*1000000000*525600*F89/1000000+SRC_DEM_012*1000000000*G89*365/1000000*(1-H89)</f>
        <v>6380200000</v>
      </c>
      <c r="N89" s="67" t="n">
        <f aca="false">SRC_DEM_012*1000000000*G89*365/1000000*H89</f>
        <v>6022500000</v>
      </c>
      <c r="O89" s="67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28641881857.3138</v>
      </c>
      <c r="P89" s="67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88207684100.2911</v>
      </c>
      <c r="Q89" s="72" t="n">
        <f aca="false">IF(O89="整代不可達","整代不可達",IF(AND(ISNUMBER(O89),ISNUMBER(P89)),IF(AND(O89&gt;0,P89&gt;0),M89/O89+N89/P89,"SLO 不可達"),"SLO 不可達"))</f>
        <v>0.291034074157449</v>
      </c>
      <c r="R89" s="72" t="n">
        <f aca="false">IF(AND(ISNUMBER(AL_FamGWyr),ISNUMBER(AL_RefGWyr)),E89*(C89*AL_FamGWyr+D89*AL_RefGWyr),"SLO 不可達")</f>
        <v>0.0906847035646163</v>
      </c>
      <c r="S89" s="103" t="n">
        <f aca="false">IF(Q89="整代不可達","整代不可達",IF(AND(ISNUMBER(Q89),ISNUMBER(R89)),R89/(R89+Q89),"SLO 不可達"))</f>
        <v>0.237569406739128</v>
      </c>
      <c r="T89" s="103" t="n">
        <f aca="false">IF(Q89="整代不可達","整代不可達",IF(AND(ISNUMBER(Q89),ISNUMBER(R89)),R89*AL_HoldTrain/(R89*AL_HoldTrain+Q89*(IF(AND(I89&gt;0,$C$26=1),I89*$C$39,0)+IF(AND(J89&gt;0,$D$26=1),J89*$D$39,0)+IF(AND(K89&gt;0,$E$26=1),K89*$E$39,0)+IF(AND(L89&gt;0,$F$26=1),L89*$F$39,0))/(IF(AND(I89&gt;0,$C$26=1),I89,0)+IF(AND(J89&gt;0,$D$26=1),J89,0)+IF(AND(K89&gt;0,$E$26=1),K89,0)+IF(AND(L89&gt;0,$F$26=1),L89,0))),"SLO 不可達"))</f>
        <v>0.289412327699093</v>
      </c>
      <c r="U89" s="114" t="n">
        <f aca="false">IF(ISNUMBER(R89),R89*AL_HoldTrain,"SLO 不可達")</f>
        <v>1.10866321398852</v>
      </c>
      <c r="V89" s="71" t="n">
        <f aca="false">(M89+N89)/365/1000000</f>
        <v>33.98</v>
      </c>
      <c r="W89" s="111" t="n">
        <f aca="false">IF(AND(ISNUMBER(S105),ISNUMBER(T105),ISNUMBER(AL_Q1),ISNUMBER(AL_Q2)),IF(AND(ABS(S105-AL_Q1)&lt;=0.000000000001,ABS(T105-AL_Q2)&lt;=0.000000000001),0,1),IF(AND(NOT(ISNUMBER(S105)),NOT(ISNUMBER(AL_Q1))),0,1))</f>
        <v>0</v>
      </c>
    </row>
    <row r="90" customFormat="false" ht="15" hidden="false" customHeight="false" outlineLevel="0" collapsed="false">
      <c r="A90" s="61" t="s">
        <v>2319</v>
      </c>
      <c r="B90" s="61" t="s">
        <v>2320</v>
      </c>
      <c r="C90" s="86" t="n">
        <f aca="false">AL_Nmajor</f>
        <v>1</v>
      </c>
      <c r="D90" s="86" t="n">
        <f aca="false">AL_Nrefresh</f>
        <v>2</v>
      </c>
      <c r="E90" s="86" t="n">
        <f aca="false">AL_k</f>
        <v>1</v>
      </c>
      <c r="F90" s="104" t="n">
        <f aca="false">AL_APIratio_Lo</f>
        <v>0.6</v>
      </c>
      <c r="G90" s="67" t="n">
        <f aca="false">AL_TokPerPrompt</f>
        <v>4000</v>
      </c>
      <c r="H90" s="85" t="n">
        <f aca="false">AL_FreeShare</f>
        <v>0.6</v>
      </c>
      <c r="I90" s="85" t="n">
        <f aca="false">AL_MixHopper</f>
        <v>0.6</v>
      </c>
      <c r="J90" s="85" t="n">
        <f aca="false">AL_MixGB200</f>
        <v>0.4</v>
      </c>
      <c r="K90" s="85" t="n">
        <f aca="false">AL_MixGB300</f>
        <v>0</v>
      </c>
      <c r="L90" s="85" t="n">
        <f aca="false">AL_MixVR200</f>
        <v>0</v>
      </c>
      <c r="M90" s="67" t="n">
        <f aca="false">SRC_DEM_010*1000000000*525600*F90/1000000+SRC_DEM_012*1000000000*G90*365/1000000*(1-H90)</f>
        <v>3352160000</v>
      </c>
      <c r="N90" s="67" t="n">
        <f aca="false">SRC_DEM_012*1000000000*G90*365/1000000*H90</f>
        <v>2190000000</v>
      </c>
      <c r="O90" s="67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28641881857.3138</v>
      </c>
      <c r="P90" s="67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88207684100.2911</v>
      </c>
      <c r="Q90" s="72" t="n">
        <f aca="false">IF(O90="整代不可達","整代不可達",IF(AND(ISNUMBER(O90),ISNUMBER(P90)),IF(AND(O90&gt;0,P90&gt;0),M90/O90+N90/P90,"SLO 不可達"),"SLO 不可達"))</f>
        <v>0.141864771495828</v>
      </c>
      <c r="R90" s="72" t="n">
        <f aca="false">IF(AND(ISNUMBER(AL_FamGWyr),ISNUMBER(AL_RefGWyr)),E90*(C90*AL_FamGWyr+D90*AL_RefGWyr),"SLO 不可達")</f>
        <v>0.0906847035646163</v>
      </c>
      <c r="S90" s="103" t="n">
        <f aca="false">IF(Q90="整代不可達","整代不可達",IF(AND(ISNUMBER(Q90),ISNUMBER(R90)),R90/(R90+Q90),"SLO 不可達"))</f>
        <v>0.389958754114778</v>
      </c>
      <c r="T90" s="103" t="n">
        <f aca="false">IF(Q90="整代不可達","整代不可達",IF(AND(ISNUMBER(Q90),ISNUMBER(R90)),R90*AL_HoldTrain/(R90*AL_HoldTrain+Q90*(IF(AND(I90&gt;0,$C$26=1),I90*$C$39,0)+IF(AND(J90&gt;0,$D$26=1),J90*$D$39,0)+IF(AND(K90&gt;0,$E$26=1),K90*$E$39,0)+IF(AND(L90&gt;0,$F$26=1),L90*$F$39,0))/(IF(AND(I90&gt;0,$C$26=1),I90,0)+IF(AND(J90&gt;0,$D$26=1),J90,0)+IF(AND(K90&gt;0,$E$26=1),K90,0)+IF(AND(L90&gt;0,$F$26=1),L90,0))),"SLO 不可達"))</f>
        <v>0.455201986622902</v>
      </c>
      <c r="U90" s="114" t="n">
        <f aca="false">IF(ISNUMBER(R90),R90*AL_HoldTrain,"SLO 不可達")</f>
        <v>1.10866321398852</v>
      </c>
      <c r="V90" s="71" t="n">
        <f aca="false">(M90+N90)/365/1000000</f>
        <v>15.184</v>
      </c>
      <c r="W90" s="111" t="n">
        <f aca="false">IF(AND(ISNUMBER(S106),ISNUMBER(T106),ISNUMBER(AL_Q1),ISNUMBER(AL_Q2)),IF(AND(ABS(S106-AL_Q1)&lt;=0.000000000001,ABS(T106-AL_Q2)&lt;=0.000000000001),0,1),IF(AND(NOT(ISNUMBER(S106)),NOT(ISNUMBER(AL_Q1))),0,1))</f>
        <v>0</v>
      </c>
    </row>
    <row r="91" customFormat="false" ht="15" hidden="false" customHeight="false" outlineLevel="0" collapsed="false">
      <c r="A91" s="61" t="s">
        <v>2321</v>
      </c>
      <c r="B91" s="61" t="s">
        <v>2320</v>
      </c>
      <c r="C91" s="86" t="n">
        <f aca="false">AL_Nmajor</f>
        <v>1</v>
      </c>
      <c r="D91" s="86" t="n">
        <f aca="false">AL_Nrefresh</f>
        <v>2</v>
      </c>
      <c r="E91" s="86" t="n">
        <f aca="false">AL_k</f>
        <v>1</v>
      </c>
      <c r="F91" s="104" t="n">
        <f aca="false">AL_APIratio_Hi</f>
        <v>0.9</v>
      </c>
      <c r="G91" s="67" t="n">
        <f aca="false">AL_TokPerPrompt</f>
        <v>4000</v>
      </c>
      <c r="H91" s="85" t="n">
        <f aca="false">AL_FreeShare</f>
        <v>0.6</v>
      </c>
      <c r="I91" s="85" t="n">
        <f aca="false">AL_MixHopper</f>
        <v>0.6</v>
      </c>
      <c r="J91" s="85" t="n">
        <f aca="false">AL_MixGB200</f>
        <v>0.4</v>
      </c>
      <c r="K91" s="85" t="n">
        <f aca="false">AL_MixGB300</f>
        <v>0</v>
      </c>
      <c r="L91" s="85" t="n">
        <f aca="false">AL_MixVR200</f>
        <v>0</v>
      </c>
      <c r="M91" s="67" t="n">
        <f aca="false">SRC_DEM_010*1000000000*525600*F91/1000000+SRC_DEM_012*1000000000*G91*365/1000000*(1-H91)</f>
        <v>4298240000</v>
      </c>
      <c r="N91" s="67" t="n">
        <f aca="false">SRC_DEM_012*1000000000*G91*365/1000000*H91</f>
        <v>2190000000</v>
      </c>
      <c r="O91" s="67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28641881857.3138</v>
      </c>
      <c r="P91" s="67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88207684100.2911</v>
      </c>
      <c r="Q91" s="72" t="n">
        <f aca="false">IF(O91="整代不可達","整代不可達",IF(AND(ISNUMBER(O91),ISNUMBER(P91)),IF(AND(O91&gt;0,P91&gt;0),M91/O91+N91/P91,"SLO 不可達"),"SLO 不可達"))</f>
        <v>0.174896120647853</v>
      </c>
      <c r="R91" s="72" t="n">
        <f aca="false">IF(AND(ISNUMBER(AL_FamGWyr),ISNUMBER(AL_RefGWyr)),E91*(C91*AL_FamGWyr+D91*AL_RefGWyr),"SLO 不可達")</f>
        <v>0.0906847035646163</v>
      </c>
      <c r="S91" s="103" t="n">
        <f aca="false">IF(Q91="整代不可達","整代不可達",IF(AND(ISNUMBER(Q91),ISNUMBER(R91)),R91/(R91+Q91),"SLO 不可達"))</f>
        <v>0.341458024439547</v>
      </c>
      <c r="T91" s="103" t="n">
        <f aca="false">IF(Q91="整代不可達","整代不可達",IF(AND(ISNUMBER(Q91),ISNUMBER(R91)),R91*AL_HoldTrain/(R91*AL_HoldTrain+Q91*(IF(AND(I91&gt;0,$C$26=1),I91*$C$39,0)+IF(AND(J91&gt;0,$D$26=1),J91*$D$39,0)+IF(AND(K91&gt;0,$E$26=1),K91*$E$39,0)+IF(AND(L91&gt;0,$F$26=1),L91*$F$39,0))/(IF(AND(I91&gt;0,$C$26=1),I91,0)+IF(AND(J91&gt;0,$D$26=1),J91,0)+IF(AND(K91&gt;0,$E$26=1),K91,0)+IF(AND(L91&gt;0,$F$26=1),L91,0))),"SLO 不可達"))</f>
        <v>0.403960034575976</v>
      </c>
      <c r="U91" s="114" t="n">
        <f aca="false">IF(ISNUMBER(R91),R91*AL_HoldTrain,"SLO 不可達")</f>
        <v>1.10866321398852</v>
      </c>
      <c r="V91" s="71" t="n">
        <f aca="false">(M91+N91)/365/1000000</f>
        <v>17.776</v>
      </c>
      <c r="W91" s="111" t="n">
        <f aca="false">IF(AND(ISNUMBER(S107),ISNUMBER(T107),ISNUMBER(AL_Q1),ISNUMBER(AL_Q2)),IF(AND(ABS(S107-AL_Q1)&lt;=0.000000000001,ABS(T107-AL_Q2)&lt;=0.000000000001),0,1),IF(AND(NOT(ISNUMBER(S107)),NOT(ISNUMBER(AL_Q1))),0,1))</f>
        <v>0</v>
      </c>
    </row>
    <row r="92" customFormat="false" ht="15" hidden="false" customHeight="false" outlineLevel="0" collapsed="false">
      <c r="A92" s="60" t="s">
        <v>2322</v>
      </c>
      <c r="B92" s="60" t="s">
        <v>2295</v>
      </c>
      <c r="C92" s="86" t="n">
        <f aca="false">AL_Nmajor</f>
        <v>1</v>
      </c>
      <c r="D92" s="86" t="n">
        <f aca="false">AL_Nrefresh</f>
        <v>2</v>
      </c>
      <c r="E92" s="86" t="n">
        <f aca="false">AL_k</f>
        <v>1</v>
      </c>
      <c r="F92" s="76" t="n">
        <f aca="false">AL_APIratio</f>
        <v>0.75</v>
      </c>
      <c r="G92" s="67" t="n">
        <f aca="false">AL_TokPerPrompt</f>
        <v>4000</v>
      </c>
      <c r="H92" s="118" t="n">
        <f aca="false">AL_FreeShare_Lo</f>
        <v>0.4</v>
      </c>
      <c r="I92" s="85" t="n">
        <f aca="false">AL_MixHopper</f>
        <v>0.6</v>
      </c>
      <c r="J92" s="85" t="n">
        <f aca="false">AL_MixGB200</f>
        <v>0.4</v>
      </c>
      <c r="K92" s="85" t="n">
        <f aca="false">AL_MixGB300</f>
        <v>0</v>
      </c>
      <c r="L92" s="85" t="n">
        <f aca="false">AL_MixVR200</f>
        <v>0</v>
      </c>
      <c r="M92" s="67" t="n">
        <f aca="false">SRC_DEM_010*1000000000*525600*F92/1000000+SRC_DEM_012*1000000000*G92*365/1000000*(1-H92)</f>
        <v>4555200000</v>
      </c>
      <c r="N92" s="67" t="n">
        <f aca="false">SRC_DEM_012*1000000000*G92*365/1000000*H92</f>
        <v>1460000000</v>
      </c>
      <c r="O92" s="67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28641881857.3138</v>
      </c>
      <c r="P92" s="67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88207684100.2911</v>
      </c>
      <c r="Q92" s="72" t="n">
        <f aca="false">IF(O92="整代不可達","整代不可達",IF(AND(ISNUMBER(O92),ISNUMBER(P92)),IF(AND(O92&gt;0,P92&gt;0),M92/O92+N92/P92,"SLO 不可達"),"SLO 不可達"))</f>
        <v>0.175591675213709</v>
      </c>
      <c r="R92" s="72" t="n">
        <f aca="false">IF(AND(ISNUMBER(AL_FamGWyr),ISNUMBER(AL_RefGWyr)),E92*(C92*AL_FamGWyr+D92*AL_RefGWyr),"SLO 不可達")</f>
        <v>0.0906847035646163</v>
      </c>
      <c r="S92" s="103" t="n">
        <f aca="false">IF(Q92="整代不可達","整代不可達",IF(AND(ISNUMBER(Q92),ISNUMBER(R92)),R92/(R92+Q92),"SLO 不可達"))</f>
        <v>0.340566083933833</v>
      </c>
      <c r="T92" s="103" t="n">
        <f aca="false">IF(Q92="整代不可達","整代不可達",IF(AND(ISNUMBER(Q92),ISNUMBER(R92)),R92*AL_HoldTrain/(R92*AL_HoldTrain+Q92*(IF(AND(I92&gt;0,$C$26=1),I92*$C$39,0)+IF(AND(J92&gt;0,$D$26=1),J92*$D$39,0)+IF(AND(K92&gt;0,$E$26=1),K92*$E$39,0)+IF(AND(L92&gt;0,$F$26=1),L92*$F$39,0))/(IF(AND(I92&gt;0,$C$26=1),I92,0)+IF(AND(J92&gt;0,$D$26=1),J92,0)+IF(AND(K92&gt;0,$E$26=1),K92,0)+IF(AND(L92&gt;0,$F$26=1),L92,0))),"SLO 不可達"))</f>
        <v>0.403004741640524</v>
      </c>
      <c r="U92" s="114" t="n">
        <f aca="false">IF(ISNUMBER(R92),R92*AL_HoldTrain,"SLO 不可達")</f>
        <v>1.10866321398852</v>
      </c>
      <c r="V92" s="71" t="n">
        <f aca="false">(M92+N92)/365/1000000</f>
        <v>16.48</v>
      </c>
      <c r="W92" s="111" t="n">
        <f aca="false">IF(AND(ISNUMBER(S108),ISNUMBER(T108),ISNUMBER(AL_Q1),ISNUMBER(AL_Q2)),IF(AND(ABS(S108-AL_Q1)&lt;=0.000000000001,ABS(T108-AL_Q2)&lt;=0.000000000001),0,1),IF(AND(NOT(ISNUMBER(S108)),NOT(ISNUMBER(AL_Q1))),0,1))</f>
        <v>0</v>
      </c>
    </row>
    <row r="93" customFormat="false" ht="15" hidden="false" customHeight="false" outlineLevel="0" collapsed="false">
      <c r="A93" s="60" t="s">
        <v>2323</v>
      </c>
      <c r="B93" s="60" t="s">
        <v>2295</v>
      </c>
      <c r="C93" s="86" t="n">
        <f aca="false">AL_Nmajor</f>
        <v>1</v>
      </c>
      <c r="D93" s="86" t="n">
        <f aca="false">AL_Nrefresh</f>
        <v>2</v>
      </c>
      <c r="E93" s="86" t="n">
        <f aca="false">AL_k</f>
        <v>1</v>
      </c>
      <c r="F93" s="76" t="n">
        <f aca="false">AL_APIratio</f>
        <v>0.75</v>
      </c>
      <c r="G93" s="67" t="n">
        <f aca="false">AL_TokPerPrompt</f>
        <v>4000</v>
      </c>
      <c r="H93" s="118" t="n">
        <f aca="false">AL_FreeShare_Hi</f>
        <v>0.8</v>
      </c>
      <c r="I93" s="85" t="n">
        <f aca="false">AL_MixHopper</f>
        <v>0.6</v>
      </c>
      <c r="J93" s="85" t="n">
        <f aca="false">AL_MixGB200</f>
        <v>0.4</v>
      </c>
      <c r="K93" s="85" t="n">
        <f aca="false">AL_MixGB300</f>
        <v>0</v>
      </c>
      <c r="L93" s="85" t="n">
        <f aca="false">AL_MixVR200</f>
        <v>0</v>
      </c>
      <c r="M93" s="67" t="n">
        <f aca="false">SRC_DEM_010*1000000000*525600*F93/1000000+SRC_DEM_012*1000000000*G93*365/1000000*(1-H93)</f>
        <v>3095200000</v>
      </c>
      <c r="N93" s="67" t="n">
        <f aca="false">SRC_DEM_012*1000000000*G93*365/1000000*H93</f>
        <v>2920000000</v>
      </c>
      <c r="O93" s="67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28641881857.3138</v>
      </c>
      <c r="P93" s="67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88207684100.2911</v>
      </c>
      <c r="Q93" s="72" t="n">
        <f aca="false">IF(O93="整代不可達","整代不可達",IF(AND(ISNUMBER(O93),ISNUMBER(P93)),IF(AND(O93&gt;0,P93&gt;0),M93/O93+N93/P93,"SLO 不可達"),"SLO 不可達"))</f>
        <v>0.141169216929972</v>
      </c>
      <c r="R93" s="72" t="n">
        <f aca="false">IF(AND(ISNUMBER(AL_FamGWyr),ISNUMBER(AL_RefGWyr)),E93*(C93*AL_FamGWyr+D93*AL_RefGWyr),"SLO 不可達")</f>
        <v>0.0906847035646163</v>
      </c>
      <c r="S93" s="103" t="n">
        <f aca="false">IF(Q93="整代不可達","整代不可達",IF(AND(ISNUMBER(Q93),ISNUMBER(R93)),R93/(R93+Q93),"SLO 不可達"))</f>
        <v>0.391128618274683</v>
      </c>
      <c r="T93" s="103" t="n">
        <f aca="false">IF(Q93="整代不可達","整代不可達",IF(AND(ISNUMBER(Q93),ISNUMBER(R93)),R93*AL_HoldTrain/(R93*AL_HoldTrain+Q93*(IF(AND(I93&gt;0,$C$26=1),I93*$C$39,0)+IF(AND(J93&gt;0,$D$26=1),J93*$D$39,0)+IF(AND(K93&gt;0,$E$26=1),K93*$E$39,0)+IF(AND(L93&gt;0,$F$26=1),L93*$F$39,0))/(IF(AND(I93&gt;0,$C$26=1),I93,0)+IF(AND(J93&gt;0,$D$26=1),J93,0)+IF(AND(K93&gt;0,$E$26=1),K93,0)+IF(AND(L93&gt;0,$F$26=1),L93,0))),"SLO 不可達"))</f>
        <v>0.456421138771523</v>
      </c>
      <c r="U93" s="114" t="n">
        <f aca="false">IF(ISNUMBER(R93),R93*AL_HoldTrain,"SLO 不可達")</f>
        <v>1.10866321398852</v>
      </c>
      <c r="V93" s="71" t="n">
        <f aca="false">(M93+N93)/365/1000000</f>
        <v>16.48</v>
      </c>
      <c r="W93" s="111" t="n">
        <f aca="false">IF(AND(ISNUMBER(S109),ISNUMBER(T109),ISNUMBER(AL_Q1),ISNUMBER(AL_Q2)),IF(AND(ABS(S109-AL_Q1)&lt;=0.000000000001,ABS(T109-AL_Q2)&lt;=0.000000000001),0,1),IF(AND(NOT(ISNUMBER(S109)),NOT(ISNUMBER(AL_Q1))),0,1))</f>
        <v>0</v>
      </c>
    </row>
    <row r="94" customFormat="false" ht="15" hidden="false" customHeight="false" outlineLevel="0" collapsed="false">
      <c r="A94" s="60" t="s">
        <v>2324</v>
      </c>
      <c r="B94" s="60" t="s">
        <v>2325</v>
      </c>
      <c r="C94" s="86" t="n">
        <f aca="false">AL_Nmajor</f>
        <v>1</v>
      </c>
      <c r="D94" s="86" t="n">
        <f aca="false">AL_Nrefresh</f>
        <v>2</v>
      </c>
      <c r="E94" s="86" t="n">
        <f aca="false">AL_k</f>
        <v>1</v>
      </c>
      <c r="F94" s="76" t="n">
        <f aca="false">AL_APIratio</f>
        <v>0.75</v>
      </c>
      <c r="G94" s="67" t="n">
        <f aca="false">AL_TokPerPrompt</f>
        <v>4000</v>
      </c>
      <c r="H94" s="85" t="n">
        <f aca="false">AL_FreeShare</f>
        <v>0.6</v>
      </c>
      <c r="I94" s="118" t="n">
        <f aca="false">AL_MixHopper_Lo</f>
        <v>0.5</v>
      </c>
      <c r="J94" s="118" t="n">
        <f aca="false">AL_MixGB200_Hi</f>
        <v>0.4</v>
      </c>
      <c r="K94" s="118" t="n">
        <f aca="false">AL_MixGB300_Lo</f>
        <v>0</v>
      </c>
      <c r="L94" s="118" t="n">
        <f aca="false">AL_MixVR200_Lo</f>
        <v>0</v>
      </c>
      <c r="M94" s="67" t="n">
        <f aca="false">SRC_DEM_010*1000000000*525600*F94/1000000+SRC_DEM_012*1000000000*G94*365/1000000*(1-H94)</f>
        <v>3825200000</v>
      </c>
      <c r="N94" s="67" t="n">
        <f aca="false">SRC_DEM_012*1000000000*G94*365/1000000*H94</f>
        <v>2190000000</v>
      </c>
      <c r="O94" s="67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29962873585.7585</v>
      </c>
      <c r="P94" s="67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94576940266.559</v>
      </c>
      <c r="Q94" s="72" t="n">
        <f aca="false">IF(O94="整代不可達","整代不可達",IF(AND(ISNUMBER(O94),ISNUMBER(P94)),IF(AND(O94&gt;0,P94&gt;0),M94/O94+N94/P94,"SLO 不可達"),"SLO 不可達"))</f>
        <v>0.150820407861927</v>
      </c>
      <c r="R94" s="72" t="n">
        <f aca="false">IF(AND(ISNUMBER(AL_FamGWyr),ISNUMBER(AL_RefGWyr)),E94*(C94*AL_FamGWyr+D94*AL_RefGWyr),"SLO 不可達")</f>
        <v>0.0906847035646163</v>
      </c>
      <c r="S94" s="103" t="n">
        <f aca="false">IF(Q94="整代不可達","整代不可達",IF(AND(ISNUMBER(Q94),ISNUMBER(R94)),R94/(R94+Q94),"SLO 不可達"))</f>
        <v>0.375498071361521</v>
      </c>
      <c r="T94" s="103" t="n">
        <f aca="false">IF(Q94="整代不可達","整代不可達",IF(AND(ISNUMBER(Q94),ISNUMBER(R94)),R94*AL_HoldTrain/(R94*AL_HoldTrain+Q94*(IF(AND(I94&gt;0,$C$26=1),I94*$C$39,0)+IF(AND(J94&gt;0,$D$26=1),J94*$D$39,0)+IF(AND(K94&gt;0,$E$26=1),K94*$E$39,0)+IF(AND(L94&gt;0,$F$26=1),L94*$F$39,0))/(IF(AND(I94&gt;0,$C$26=1),I94,0)+IF(AND(J94&gt;0,$D$26=1),J94,0)+IF(AND(K94&gt;0,$E$26=1),K94,0)+IF(AND(L94&gt;0,$F$26=1),L94,0))),"SLO 不可達"))</f>
        <v>0.44109402369558</v>
      </c>
      <c r="U94" s="114" t="n">
        <f aca="false">IF(ISNUMBER(R94),R94*AL_HoldTrain,"SLO 不可達")</f>
        <v>1.10866321398852</v>
      </c>
      <c r="V94" s="71" t="n">
        <f aca="false">(M94+N94)/365/1000000</f>
        <v>16.48</v>
      </c>
      <c r="W94" s="111" t="n">
        <f aca="false">IF(AND(ISNUMBER(S110),ISNUMBER(T110),ISNUMBER(AL_Q1),ISNUMBER(AL_Q2)),IF(AND(ABS(S110-AL_Q1)&lt;=0.000000000001,ABS(T110-AL_Q2)&lt;=0.000000000001),0,1),IF(AND(NOT(ISNUMBER(S110)),NOT(ISNUMBER(AL_Q1))),0,1))</f>
        <v>0</v>
      </c>
    </row>
    <row r="95" customFormat="false" ht="15" hidden="false" customHeight="false" outlineLevel="0" collapsed="false">
      <c r="A95" s="60" t="s">
        <v>2326</v>
      </c>
      <c r="B95" s="60" t="s">
        <v>2325</v>
      </c>
      <c r="C95" s="86" t="n">
        <f aca="false">AL_Nmajor</f>
        <v>1</v>
      </c>
      <c r="D95" s="86" t="n">
        <f aca="false">AL_Nrefresh</f>
        <v>2</v>
      </c>
      <c r="E95" s="86" t="n">
        <f aca="false">AL_k</f>
        <v>1</v>
      </c>
      <c r="F95" s="76" t="n">
        <f aca="false">AL_APIratio</f>
        <v>0.75</v>
      </c>
      <c r="G95" s="67" t="n">
        <f aca="false">AL_TokPerPrompt</f>
        <v>4000</v>
      </c>
      <c r="H95" s="85" t="n">
        <f aca="false">AL_FreeShare</f>
        <v>0.6</v>
      </c>
      <c r="I95" s="118" t="n">
        <f aca="false">AL_MixHopper_Lo</f>
        <v>0.5</v>
      </c>
      <c r="J95" s="118" t="n">
        <f aca="false">AL_MixGB200_Lo</f>
        <v>0.25</v>
      </c>
      <c r="K95" s="118" t="n">
        <f aca="false">AL_MixGB300_Lo</f>
        <v>0</v>
      </c>
      <c r="L95" s="118" t="n">
        <f aca="false">AL_MixVR200_Hi</f>
        <v>0</v>
      </c>
      <c r="M95" s="67" t="n">
        <f aca="false">SRC_DEM_010*1000000000*525600*F95/1000000+SRC_DEM_012*1000000000*G95*365/1000000*(1-H95)</f>
        <v>3825200000</v>
      </c>
      <c r="N95" s="67" t="n">
        <f aca="false">SRC_DEM_012*1000000000*G95*365/1000000*H95</f>
        <v>2190000000</v>
      </c>
      <c r="O95" s="67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26660394264.6468</v>
      </c>
      <c r="P95" s="67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78653799850.8893</v>
      </c>
      <c r="Q95" s="72" t="n">
        <f aca="false">IF(O95="整代不可達","整代不可達",IF(AND(ISNUMBER(O95),ISNUMBER(P95)),IF(AND(O95&gt;0,P95&gt;0),M95/O95+N95/P95,"SLO 不可達"),"SLO 不可達"))</f>
        <v>0.171322285538352</v>
      </c>
      <c r="R95" s="72" t="n">
        <f aca="false">IF(AND(ISNUMBER(AL_FamGWyr),ISNUMBER(AL_RefGWyr)),E95*(C95*AL_FamGWyr+D95*AL_RefGWyr),"SLO 不可達")</f>
        <v>0.0906847035646163</v>
      </c>
      <c r="S95" s="103" t="n">
        <f aca="false">IF(Q95="整代不可達","整代不可達",IF(AND(ISNUMBER(Q95),ISNUMBER(R95)),R95/(R95+Q95),"SLO 不可達"))</f>
        <v>0.34611558979817</v>
      </c>
      <c r="T95" s="103" t="n">
        <f aca="false">IF(Q95="整代不可達","整代不可達",IF(AND(ISNUMBER(Q95),ISNUMBER(R95)),R95*AL_HoldTrain/(R95*AL_HoldTrain+Q95*(IF(AND(I95&gt;0,$C$26=1),I95*$C$39,0)+IF(AND(J95&gt;0,$D$26=1),J95*$D$39,0)+IF(AND(K95&gt;0,$E$26=1),K95*$E$39,0)+IF(AND(L95&gt;0,$F$26=1),L95*$F$39,0))/(IF(AND(I95&gt;0,$C$26=1),I95,0)+IF(AND(J95&gt;0,$D$26=1),J95,0)+IF(AND(K95&gt;0,$E$26=1),K95,0)+IF(AND(L95&gt;0,$F$26=1),L95,0))),"SLO 不可達"))</f>
        <v>0.407438920965007</v>
      </c>
      <c r="U95" s="114" t="n">
        <f aca="false">IF(ISNUMBER(R95),R95*AL_HoldTrain,"SLO 不可達")</f>
        <v>1.10866321398852</v>
      </c>
      <c r="V95" s="71" t="n">
        <f aca="false">(M95+N95)/365/1000000</f>
        <v>16.48</v>
      </c>
      <c r="W95" s="111" t="n">
        <f aca="false">IF(AND(ISNUMBER(S111),ISNUMBER(T111),ISNUMBER(AL_Q1),ISNUMBER(AL_Q2)),IF(AND(ABS(S111-AL_Q1)&lt;=0.000000000001,ABS(T111-AL_Q2)&lt;=0.000000000001),0,1),IF(AND(NOT(ISNUMBER(S111)),NOT(ISNUMBER(AL_Q1))),0,1))</f>
        <v>0</v>
      </c>
    </row>
    <row r="97" customFormat="false" ht="15" hidden="false" customHeight="false" outlineLevel="0" collapsed="false">
      <c r="A97" s="73" t="s">
        <v>2327</v>
      </c>
      <c r="B97" s="58" t="s">
        <v>620</v>
      </c>
      <c r="C97" s="86" t="n">
        <f aca="false">AL_Nmajor</f>
        <v>1</v>
      </c>
      <c r="D97" s="86" t="n">
        <f aca="false">AL_Nrefresh</f>
        <v>2</v>
      </c>
      <c r="E97" s="86" t="n">
        <f aca="false">AL_k</f>
        <v>1</v>
      </c>
      <c r="F97" s="76" t="n">
        <f aca="false">AL_APIratio</f>
        <v>0.75</v>
      </c>
      <c r="G97" s="67" t="n">
        <f aca="false">AL_TokPerPrompt</f>
        <v>4000</v>
      </c>
      <c r="H97" s="85" t="n">
        <f aca="false">AL_FreeShare</f>
        <v>0.6</v>
      </c>
      <c r="I97" s="85" t="n">
        <f aca="false">AL_MixHopper</f>
        <v>0.6</v>
      </c>
      <c r="J97" s="85" t="n">
        <f aca="false">AL_MixGB200</f>
        <v>0.4</v>
      </c>
      <c r="K97" s="85" t="n">
        <f aca="false">AL_MixGB300</f>
        <v>0</v>
      </c>
      <c r="L97" s="85" t="n">
        <f aca="false">AL_MixVR200</f>
        <v>0</v>
      </c>
      <c r="M97" s="67" t="n">
        <f aca="false">SRC_DEM_010*1000000000*525600*F97/1000000+SRC_DEM_012*1000000000*G97*365/1000000*(1-H97)</f>
        <v>3825200000</v>
      </c>
      <c r="N97" s="67" t="n">
        <f aca="false">SRC_DEM_012*1000000000*G97*365/1000000*H97</f>
        <v>2190000000</v>
      </c>
      <c r="O97" s="67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28641881857.3138</v>
      </c>
      <c r="P97" s="67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88207684100.2911</v>
      </c>
      <c r="Q97" s="72" t="n">
        <f aca="false">IF(O97="整代不可達","整代不可達",IF(AND(ISNUMBER(O97),ISNUMBER(P97)),IF(AND(O97&gt;0,P97&gt;0),M97/O97+N97/P97,"SLO 不可達"),"SLO 不可達"))</f>
        <v>0.15838044607184</v>
      </c>
      <c r="R97" s="72" t="n">
        <f aca="false">IF(AND(ISNUMBER(AL_FamGWyr),ISNUMBER(AL_RefGWyr)),E97*(C97*AL_FamGWyr+D97*AL_RefGWyr),"SLO 不可達")</f>
        <v>0.0906847035646163</v>
      </c>
      <c r="S97" s="103" t="n">
        <f aca="false">IF(Q97="整代不可達","整代不可達",IF(AND(ISNUMBER(Q97),ISNUMBER(R97)),R97/(R97+Q97),"SLO 不可達"))</f>
        <v>0.364100331567795</v>
      </c>
      <c r="T97" s="103" t="n">
        <f aca="false">IF(Q97="整代不可達","整代不可達",IF(AND(ISNUMBER(Q97),ISNUMBER(R97)),R97*AL_HoldTrain/(R97*AL_HoldTrain+Q97*(IF(AND(I97&gt;0,$C$26=1),I97*$C$39,0)+IF(AND(J97&gt;0,$D$26=1),J97*$D$39,0)+IF(AND(K97&gt;0,$E$26=1),K97*$E$39,0)+IF(AND(L97&gt;0,$F$26=1),L97*$F$39,0))/(IF(AND(I97&gt;0,$C$26=1),I97,0)+IF(AND(J97&gt;0,$D$26=1),J97,0)+IF(AND(K97&gt;0,$E$26=1),K97,0)+IF(AND(L97&gt;0,$F$26=1),L97,0))),"SLO 不可達"))</f>
        <v>0.428052929990199</v>
      </c>
      <c r="U97" s="114" t="n">
        <f aca="false">IF(ISNUMBER(R97),R97*AL_HoldTrain,"SLO 不可達")</f>
        <v>1.10866321398852</v>
      </c>
      <c r="V97" s="71" t="n">
        <f aca="false">(M97+N97)/365/1000000</f>
        <v>16.48</v>
      </c>
    </row>
    <row r="98" customFormat="false" ht="15" hidden="false" customHeight="false" outlineLevel="0" collapsed="false">
      <c r="A98" s="73" t="s">
        <v>2328</v>
      </c>
      <c r="B98" s="58" t="s">
        <v>2290</v>
      </c>
      <c r="C98" s="86" t="n">
        <f aca="false">AL_Nmajor</f>
        <v>1</v>
      </c>
      <c r="D98" s="86" t="n">
        <f aca="false">AL_Nrefresh</f>
        <v>2</v>
      </c>
      <c r="E98" s="86" t="n">
        <f aca="false">AL_k</f>
        <v>1</v>
      </c>
      <c r="F98" s="76" t="n">
        <f aca="false">AL_APIratio</f>
        <v>0.75</v>
      </c>
      <c r="G98" s="67" t="n">
        <f aca="false">AL_TokPerPrompt</f>
        <v>4000</v>
      </c>
      <c r="H98" s="85" t="n">
        <f aca="false">AL_FreeShare</f>
        <v>0.6</v>
      </c>
      <c r="I98" s="85" t="n">
        <f aca="false">AL_MixHopper</f>
        <v>0.6</v>
      </c>
      <c r="J98" s="85" t="n">
        <f aca="false">AL_MixGB200</f>
        <v>0.4</v>
      </c>
      <c r="K98" s="85" t="n">
        <f aca="false">AL_MixGB300</f>
        <v>0</v>
      </c>
      <c r="L98" s="85" t="n">
        <f aca="false">AL_MixVR200</f>
        <v>0</v>
      </c>
      <c r="M98" s="67" t="n">
        <f aca="false">SRC_DEM_010*1000000000*525600*F98/1000000+SRC_DEM_012*1000000000*G98*365/1000000*(1-H98)</f>
        <v>3825200000</v>
      </c>
      <c r="N98" s="67" t="n">
        <f aca="false">SRC_DEM_012*1000000000*G98*365/1000000*H98</f>
        <v>2190000000</v>
      </c>
      <c r="O98" s="67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28641881857.3138</v>
      </c>
      <c r="P98" s="67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88207684100.2911</v>
      </c>
      <c r="Q98" s="72" t="n">
        <f aca="false">IF(O98="整代不可達","整代不可達",IF(AND(ISNUMBER(O98),ISNUMBER(P98)),IF(AND(O98&gt;0,P98&gt;0),M98/O98+N98/P98,"SLO 不可達"),"SLO 不可達"))</f>
        <v>0.15838044607184</v>
      </c>
      <c r="R98" s="72" t="n">
        <f aca="false">IF(AND(ISNUMBER(AL_FamGWyr),ISNUMBER(AL_RefGWyr)),E98*(C98*AL_FamGWyr+D98*AL_RefGWyr),"SLO 不可達")</f>
        <v>0.0906847035646163</v>
      </c>
      <c r="S98" s="103" t="n">
        <f aca="false">IF(Q98="整代不可達","整代不可達",IF(AND(ISNUMBER(Q98),ISNUMBER(R98)),R98/(R98+Q98),"SLO 不可達"))</f>
        <v>0.364100331567795</v>
      </c>
      <c r="T98" s="103" t="n">
        <f aca="false">IF(Q98="整代不可達","整代不可達",IF(AND(ISNUMBER(Q98),ISNUMBER(R98)),R98*AL_HoldTrain/(R98*AL_HoldTrain+Q98*(IF(AND(I98&gt;0,$C$26=1),I98*$C$39,0)+IF(AND(J98&gt;0,$D$26=1),J98*$D$39,0)+IF(AND(K98&gt;0,$E$26=1),K98*$E$39,0)+IF(AND(L98&gt;0,$F$26=1),L98*$F$39,0))/(IF(AND(I98&gt;0,$C$26=1),I98,0)+IF(AND(J98&gt;0,$D$26=1),J98,0)+IF(AND(K98&gt;0,$E$26=1),K98,0)+IF(AND(L98&gt;0,$F$26=1),L98,0))),"SLO 不可達"))</f>
        <v>0.428052929990199</v>
      </c>
      <c r="U98" s="114" t="n">
        <f aca="false">IF(ISNUMBER(R98),R98*AL_HoldTrain,"SLO 不可達")</f>
        <v>1.10866321398852</v>
      </c>
      <c r="V98" s="71" t="n">
        <f aca="false">(M98+N98)/365/1000000</f>
        <v>16.48</v>
      </c>
    </row>
    <row r="99" customFormat="false" ht="15" hidden="false" customHeight="false" outlineLevel="0" collapsed="false">
      <c r="A99" s="73" t="s">
        <v>2329</v>
      </c>
      <c r="B99" s="58" t="s">
        <v>2290</v>
      </c>
      <c r="C99" s="86" t="n">
        <f aca="false">AL_Nmajor</f>
        <v>1</v>
      </c>
      <c r="D99" s="86" t="n">
        <f aca="false">AL_Nrefresh</f>
        <v>2</v>
      </c>
      <c r="E99" s="86" t="n">
        <f aca="false">AL_k</f>
        <v>1</v>
      </c>
      <c r="F99" s="76" t="n">
        <f aca="false">AL_APIratio</f>
        <v>0.75</v>
      </c>
      <c r="G99" s="67" t="n">
        <f aca="false">AL_TokPerPrompt</f>
        <v>4000</v>
      </c>
      <c r="H99" s="85" t="n">
        <f aca="false">AL_FreeShare</f>
        <v>0.6</v>
      </c>
      <c r="I99" s="85" t="n">
        <f aca="false">AL_MixHopper</f>
        <v>0.6</v>
      </c>
      <c r="J99" s="85" t="n">
        <f aca="false">AL_MixGB200</f>
        <v>0.4</v>
      </c>
      <c r="K99" s="85" t="n">
        <f aca="false">AL_MixGB300</f>
        <v>0</v>
      </c>
      <c r="L99" s="85" t="n">
        <f aca="false">AL_MixVR200</f>
        <v>0</v>
      </c>
      <c r="M99" s="67" t="n">
        <f aca="false">SRC_DEM_010*1000000000*525600*F99/1000000+SRC_DEM_012*1000000000*G99*365/1000000*(1-H99)</f>
        <v>3825200000</v>
      </c>
      <c r="N99" s="67" t="n">
        <f aca="false">SRC_DEM_012*1000000000*G99*365/1000000*H99</f>
        <v>2190000000</v>
      </c>
      <c r="O99" s="67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28641881857.3138</v>
      </c>
      <c r="P99" s="67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88207684100.2911</v>
      </c>
      <c r="Q99" s="72" t="n">
        <f aca="false">IF(O99="整代不可達","整代不可達",IF(AND(ISNUMBER(O99),ISNUMBER(P99)),IF(AND(O99&gt;0,P99&gt;0),M99/O99+N99/P99,"SLO 不可達"),"SLO 不可達"))</f>
        <v>0.15838044607184</v>
      </c>
      <c r="R99" s="72" t="n">
        <f aca="false">IF(AND(ISNUMBER(AL_FamGWyr),ISNUMBER(AL_RefGWyr)),E99*(C99*AL_FamGWyr+D99*AL_RefGWyr),"SLO 不可達")</f>
        <v>0.0906847035646163</v>
      </c>
      <c r="S99" s="103" t="n">
        <f aca="false">IF(Q99="整代不可達","整代不可達",IF(AND(ISNUMBER(Q99),ISNUMBER(R99)),R99/(R99+Q99),"SLO 不可達"))</f>
        <v>0.364100331567795</v>
      </c>
      <c r="T99" s="103" t="n">
        <f aca="false">IF(Q99="整代不可達","整代不可達",IF(AND(ISNUMBER(Q99),ISNUMBER(R99)),R99*AL_HoldTrain/(R99*AL_HoldTrain+Q99*(IF(AND(I99&gt;0,$C$26=1),I99*$C$39,0)+IF(AND(J99&gt;0,$D$26=1),J99*$D$39,0)+IF(AND(K99&gt;0,$E$26=1),K99*$E$39,0)+IF(AND(L99&gt;0,$F$26=1),L99*$F$39,0))/(IF(AND(I99&gt;0,$C$26=1),I99,0)+IF(AND(J99&gt;0,$D$26=1),J99,0)+IF(AND(K99&gt;0,$E$26=1),K99,0)+IF(AND(L99&gt;0,$F$26=1),L99,0))),"SLO 不可達"))</f>
        <v>0.428052929990199</v>
      </c>
      <c r="U99" s="114" t="n">
        <f aca="false">IF(ISNUMBER(R99),R99*AL_HoldTrain,"SLO 不可達")</f>
        <v>1.10866321398852</v>
      </c>
      <c r="V99" s="71" t="n">
        <f aca="false">(M99+N99)/365/1000000</f>
        <v>16.48</v>
      </c>
    </row>
    <row r="100" customFormat="false" ht="15" hidden="false" customHeight="false" outlineLevel="0" collapsed="false">
      <c r="A100" s="73" t="s">
        <v>2330</v>
      </c>
      <c r="B100" s="58" t="s">
        <v>2291</v>
      </c>
      <c r="C100" s="86" t="n">
        <f aca="false">AL_Nmajor</f>
        <v>1</v>
      </c>
      <c r="D100" s="86" t="n">
        <f aca="false">AL_Nrefresh</f>
        <v>2</v>
      </c>
      <c r="E100" s="86" t="n">
        <f aca="false">AL_k</f>
        <v>1</v>
      </c>
      <c r="F100" s="76" t="n">
        <f aca="false">AL_APIratio</f>
        <v>0.75</v>
      </c>
      <c r="G100" s="67" t="n">
        <f aca="false">AL_TokPerPrompt</f>
        <v>4000</v>
      </c>
      <c r="H100" s="85" t="n">
        <f aca="false">AL_FreeShare</f>
        <v>0.6</v>
      </c>
      <c r="I100" s="85" t="n">
        <f aca="false">AL_MixHopper</f>
        <v>0.6</v>
      </c>
      <c r="J100" s="85" t="n">
        <f aca="false">AL_MixGB200</f>
        <v>0.4</v>
      </c>
      <c r="K100" s="85" t="n">
        <f aca="false">AL_MixGB300</f>
        <v>0</v>
      </c>
      <c r="L100" s="85" t="n">
        <f aca="false">AL_MixVR200</f>
        <v>0</v>
      </c>
      <c r="M100" s="67" t="n">
        <f aca="false">SRC_DEM_010*1000000000*525600*F100/1000000+SRC_DEM_012*1000000000*G100*365/1000000*(1-H100)</f>
        <v>3825200000</v>
      </c>
      <c r="N100" s="67" t="n">
        <f aca="false">SRC_DEM_012*1000000000*G100*365/1000000*H100</f>
        <v>2190000000</v>
      </c>
      <c r="O100" s="67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28641881857.3138</v>
      </c>
      <c r="P100" s="67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88207684100.2911</v>
      </c>
      <c r="Q100" s="72" t="n">
        <f aca="false">IF(O100="整代不可達","整代不可達",IF(AND(ISNUMBER(O100),ISNUMBER(P100)),IF(AND(O100&gt;0,P100&gt;0),M100/O100+N100/P100,"SLO 不可達"),"SLO 不可達"))</f>
        <v>0.15838044607184</v>
      </c>
      <c r="R100" s="72" t="n">
        <f aca="false">IF(AND(ISNUMBER(AL_FamGWyr),ISNUMBER(AL_RefGWyr)),E100*(C100*AL_FamGWyr+D100*AL_RefGWyr),"SLO 不可達")</f>
        <v>0.0906847035646163</v>
      </c>
      <c r="S100" s="103" t="n">
        <f aca="false">IF(Q100="整代不可達","整代不可達",IF(AND(ISNUMBER(Q100),ISNUMBER(R100)),R100/(R100+Q100),"SLO 不可達"))</f>
        <v>0.364100331567795</v>
      </c>
      <c r="T100" s="103" t="n">
        <f aca="false">IF(Q100="整代不可達","整代不可達",IF(AND(ISNUMBER(Q100),ISNUMBER(R100)),R100*AL_HoldTrain/(R100*AL_HoldTrain+Q100*(IF(AND(I100&gt;0,$C$26=1),I100*$C$39,0)+IF(AND(J100&gt;0,$D$26=1),J100*$D$39,0)+IF(AND(K100&gt;0,$E$26=1),K100*$E$39,0)+IF(AND(L100&gt;0,$F$26=1),L100*$F$39,0))/(IF(AND(I100&gt;0,$C$26=1),I100,0)+IF(AND(J100&gt;0,$D$26=1),J100,0)+IF(AND(K100&gt;0,$E$26=1),K100,0)+IF(AND(L100&gt;0,$F$26=1),L100,0))),"SLO 不可達"))</f>
        <v>0.428052929990199</v>
      </c>
      <c r="U100" s="114" t="n">
        <f aca="false">IF(ISNUMBER(R100),R100*AL_HoldTrain,"SLO 不可達")</f>
        <v>1.10866321398852</v>
      </c>
      <c r="V100" s="71" t="n">
        <f aca="false">(M100+N100)/365/1000000</f>
        <v>16.48</v>
      </c>
    </row>
    <row r="101" customFormat="false" ht="15" hidden="false" customHeight="false" outlineLevel="0" collapsed="false">
      <c r="A101" s="73" t="s">
        <v>2331</v>
      </c>
      <c r="B101" s="58" t="s">
        <v>2291</v>
      </c>
      <c r="C101" s="86" t="n">
        <f aca="false">AL_Nmajor</f>
        <v>1</v>
      </c>
      <c r="D101" s="86" t="n">
        <f aca="false">AL_Nrefresh</f>
        <v>2</v>
      </c>
      <c r="E101" s="86" t="n">
        <f aca="false">AL_k</f>
        <v>1</v>
      </c>
      <c r="F101" s="76" t="n">
        <f aca="false">AL_APIratio</f>
        <v>0.75</v>
      </c>
      <c r="G101" s="67" t="n">
        <f aca="false">AL_TokPerPrompt</f>
        <v>4000</v>
      </c>
      <c r="H101" s="85" t="n">
        <f aca="false">AL_FreeShare</f>
        <v>0.6</v>
      </c>
      <c r="I101" s="85" t="n">
        <f aca="false">AL_MixHopper</f>
        <v>0.6</v>
      </c>
      <c r="J101" s="85" t="n">
        <f aca="false">AL_MixGB200</f>
        <v>0.4</v>
      </c>
      <c r="K101" s="85" t="n">
        <f aca="false">AL_MixGB300</f>
        <v>0</v>
      </c>
      <c r="L101" s="85" t="n">
        <f aca="false">AL_MixVR200</f>
        <v>0</v>
      </c>
      <c r="M101" s="67" t="n">
        <f aca="false">SRC_DEM_010*1000000000*525600*F101/1000000+SRC_DEM_012*1000000000*G101*365/1000000*(1-H101)</f>
        <v>3825200000</v>
      </c>
      <c r="N101" s="67" t="n">
        <f aca="false">SRC_DEM_012*1000000000*G101*365/1000000*H101</f>
        <v>2190000000</v>
      </c>
      <c r="O101" s="67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28641881857.3138</v>
      </c>
      <c r="P101" s="67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88207684100.2911</v>
      </c>
      <c r="Q101" s="72" t="n">
        <f aca="false">IF(O101="整代不可達","整代不可達",IF(AND(ISNUMBER(O101),ISNUMBER(P101)),IF(AND(O101&gt;0,P101&gt;0),M101/O101+N101/P101,"SLO 不可達"),"SLO 不可達"))</f>
        <v>0.15838044607184</v>
      </c>
      <c r="R101" s="72" t="n">
        <f aca="false">IF(AND(ISNUMBER(AL_FamGWyr),ISNUMBER(AL_RefGWyr)),E101*(C101*AL_FamGWyr+D101*AL_RefGWyr),"SLO 不可達")</f>
        <v>0.0906847035646163</v>
      </c>
      <c r="S101" s="103" t="n">
        <f aca="false">IF(Q101="整代不可達","整代不可達",IF(AND(ISNUMBER(Q101),ISNUMBER(R101)),R101/(R101+Q101),"SLO 不可達"))</f>
        <v>0.364100331567795</v>
      </c>
      <c r="T101" s="103" t="n">
        <f aca="false">IF(Q101="整代不可達","整代不可達",IF(AND(ISNUMBER(Q101),ISNUMBER(R101)),R101*AL_HoldTrain/(R101*AL_HoldTrain+Q101*(IF(AND(I101&gt;0,$C$26=1),I101*$C$39,0)+IF(AND(J101&gt;0,$D$26=1),J101*$D$39,0)+IF(AND(K101&gt;0,$E$26=1),K101*$E$39,0)+IF(AND(L101&gt;0,$F$26=1),L101*$F$39,0))/(IF(AND(I101&gt;0,$C$26=1),I101,0)+IF(AND(J101&gt;0,$D$26=1),J101,0)+IF(AND(K101&gt;0,$E$26=1),K101,0)+IF(AND(L101&gt;0,$F$26=1),L101,0))),"SLO 不可達"))</f>
        <v>0.428052929990199</v>
      </c>
      <c r="U101" s="114" t="n">
        <f aca="false">IF(ISNUMBER(R101),R101*AL_HoldTrain,"SLO 不可達")</f>
        <v>1.10866321398852</v>
      </c>
      <c r="V101" s="71" t="n">
        <f aca="false">(M101+N101)/365/1000000</f>
        <v>16.48</v>
      </c>
    </row>
    <row r="102" customFormat="false" ht="15" hidden="false" customHeight="false" outlineLevel="0" collapsed="false">
      <c r="A102" s="73" t="s">
        <v>2332</v>
      </c>
      <c r="B102" s="58" t="s">
        <v>2292</v>
      </c>
      <c r="C102" s="86" t="n">
        <f aca="false">AL_Nmajor</f>
        <v>1</v>
      </c>
      <c r="D102" s="86" t="n">
        <f aca="false">AL_Nrefresh</f>
        <v>2</v>
      </c>
      <c r="E102" s="86" t="n">
        <f aca="false">AL_k</f>
        <v>1</v>
      </c>
      <c r="F102" s="76" t="n">
        <f aca="false">AL_APIratio</f>
        <v>0.75</v>
      </c>
      <c r="G102" s="67" t="n">
        <f aca="false">AL_TokPerPrompt</f>
        <v>4000</v>
      </c>
      <c r="H102" s="85" t="n">
        <f aca="false">AL_FreeShare</f>
        <v>0.6</v>
      </c>
      <c r="I102" s="85" t="n">
        <f aca="false">AL_MixHopper</f>
        <v>0.6</v>
      </c>
      <c r="J102" s="85" t="n">
        <f aca="false">AL_MixGB200</f>
        <v>0.4</v>
      </c>
      <c r="K102" s="85" t="n">
        <f aca="false">AL_MixGB300</f>
        <v>0</v>
      </c>
      <c r="L102" s="85" t="n">
        <f aca="false">AL_MixVR200</f>
        <v>0</v>
      </c>
      <c r="M102" s="67" t="n">
        <f aca="false">SRC_DEM_010*1000000000*525600*F102/1000000+SRC_DEM_012*1000000000*G102*365/1000000*(1-H102)</f>
        <v>3825200000</v>
      </c>
      <c r="N102" s="67" t="n">
        <f aca="false">SRC_DEM_012*1000000000*G102*365/1000000*H102</f>
        <v>2190000000</v>
      </c>
      <c r="O102" s="67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28641881857.3138</v>
      </c>
      <c r="P102" s="67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88207684100.2911</v>
      </c>
      <c r="Q102" s="72" t="n">
        <f aca="false">IF(O102="整代不可達","整代不可達",IF(AND(ISNUMBER(O102),ISNUMBER(P102)),IF(AND(O102&gt;0,P102&gt;0),M102/O102+N102/P102,"SLO 不可達"),"SLO 不可達"))</f>
        <v>0.15838044607184</v>
      </c>
      <c r="R102" s="72" t="n">
        <f aca="false">IF(AND(ISNUMBER(AL_FamGWyr),ISNUMBER(AL_RefGWyr)),E102*(C102*AL_FamGWyr+D102*AL_RefGWyr),"SLO 不可達")</f>
        <v>0.0906847035646163</v>
      </c>
      <c r="S102" s="103" t="n">
        <f aca="false">IF(Q102="整代不可達","整代不可達",IF(AND(ISNUMBER(Q102),ISNUMBER(R102)),R102/(R102+Q102),"SLO 不可達"))</f>
        <v>0.364100331567795</v>
      </c>
      <c r="T102" s="103" t="n">
        <f aca="false">IF(Q102="整代不可達","整代不可達",IF(AND(ISNUMBER(Q102),ISNUMBER(R102)),R102*AL_HoldTrain/(R102*AL_HoldTrain+Q102*(IF(AND(I102&gt;0,$C$26=1),I102*$C$39,0)+IF(AND(J102&gt;0,$D$26=1),J102*$D$39,0)+IF(AND(K102&gt;0,$E$26=1),K102*$E$39,0)+IF(AND(L102&gt;0,$F$26=1),L102*$F$39,0))/(IF(AND(I102&gt;0,$C$26=1),I102,0)+IF(AND(J102&gt;0,$D$26=1),J102,0)+IF(AND(K102&gt;0,$E$26=1),K102,0)+IF(AND(L102&gt;0,$F$26=1),L102,0))),"SLO 不可達"))</f>
        <v>0.428052929990199</v>
      </c>
      <c r="U102" s="114" t="n">
        <f aca="false">IF(ISNUMBER(R102),R102*AL_HoldTrain,"SLO 不可達")</f>
        <v>1.10866321398852</v>
      </c>
      <c r="V102" s="71" t="n">
        <f aca="false">(M102+N102)/365/1000000</f>
        <v>16.48</v>
      </c>
    </row>
    <row r="103" customFormat="false" ht="15" hidden="false" customHeight="false" outlineLevel="0" collapsed="false">
      <c r="A103" s="73" t="s">
        <v>2333</v>
      </c>
      <c r="B103" s="58" t="s">
        <v>2292</v>
      </c>
      <c r="C103" s="86" t="n">
        <f aca="false">AL_Nmajor</f>
        <v>1</v>
      </c>
      <c r="D103" s="86" t="n">
        <f aca="false">AL_Nrefresh</f>
        <v>2</v>
      </c>
      <c r="E103" s="86" t="n">
        <f aca="false">AL_k</f>
        <v>1</v>
      </c>
      <c r="F103" s="76" t="n">
        <f aca="false">AL_APIratio</f>
        <v>0.75</v>
      </c>
      <c r="G103" s="67" t="n">
        <f aca="false">AL_TokPerPrompt</f>
        <v>4000</v>
      </c>
      <c r="H103" s="85" t="n">
        <f aca="false">AL_FreeShare</f>
        <v>0.6</v>
      </c>
      <c r="I103" s="85" t="n">
        <f aca="false">AL_MixHopper</f>
        <v>0.6</v>
      </c>
      <c r="J103" s="85" t="n">
        <f aca="false">AL_MixGB200</f>
        <v>0.4</v>
      </c>
      <c r="K103" s="85" t="n">
        <f aca="false">AL_MixGB300</f>
        <v>0</v>
      </c>
      <c r="L103" s="85" t="n">
        <f aca="false">AL_MixVR200</f>
        <v>0</v>
      </c>
      <c r="M103" s="67" t="n">
        <f aca="false">SRC_DEM_010*1000000000*525600*F103/1000000+SRC_DEM_012*1000000000*G103*365/1000000*(1-H103)</f>
        <v>3825200000</v>
      </c>
      <c r="N103" s="67" t="n">
        <f aca="false">SRC_DEM_012*1000000000*G103*365/1000000*H103</f>
        <v>2190000000</v>
      </c>
      <c r="O103" s="67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28641881857.3138</v>
      </c>
      <c r="P103" s="67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88207684100.2911</v>
      </c>
      <c r="Q103" s="72" t="n">
        <f aca="false">IF(O103="整代不可達","整代不可達",IF(AND(ISNUMBER(O103),ISNUMBER(P103)),IF(AND(O103&gt;0,P103&gt;0),M103/O103+N103/P103,"SLO 不可達"),"SLO 不可達"))</f>
        <v>0.15838044607184</v>
      </c>
      <c r="R103" s="72" t="n">
        <f aca="false">IF(AND(ISNUMBER(AL_FamGWyr),ISNUMBER(AL_RefGWyr)),E103*(C103*AL_FamGWyr+D103*AL_RefGWyr),"SLO 不可達")</f>
        <v>0.0906847035646163</v>
      </c>
      <c r="S103" s="103" t="n">
        <f aca="false">IF(Q103="整代不可達","整代不可達",IF(AND(ISNUMBER(Q103),ISNUMBER(R103)),R103/(R103+Q103),"SLO 不可達"))</f>
        <v>0.364100331567795</v>
      </c>
      <c r="T103" s="103" t="n">
        <f aca="false">IF(Q103="整代不可達","整代不可達",IF(AND(ISNUMBER(Q103),ISNUMBER(R103)),R103*AL_HoldTrain/(R103*AL_HoldTrain+Q103*(IF(AND(I103&gt;0,$C$26=1),I103*$C$39,0)+IF(AND(J103&gt;0,$D$26=1),J103*$D$39,0)+IF(AND(K103&gt;0,$E$26=1),K103*$E$39,0)+IF(AND(L103&gt;0,$F$26=1),L103*$F$39,0))/(IF(AND(I103&gt;0,$C$26=1),I103,0)+IF(AND(J103&gt;0,$D$26=1),J103,0)+IF(AND(K103&gt;0,$E$26=1),K103,0)+IF(AND(L103&gt;0,$F$26=1),L103,0))),"SLO 不可達"))</f>
        <v>0.428052929990199</v>
      </c>
      <c r="U103" s="114" t="n">
        <f aca="false">IF(ISNUMBER(R103),R103*AL_HoldTrain,"SLO 不可達")</f>
        <v>1.10866321398852</v>
      </c>
      <c r="V103" s="71" t="n">
        <f aca="false">(M103+N103)/365/1000000</f>
        <v>16.48</v>
      </c>
    </row>
    <row r="104" customFormat="false" ht="15" hidden="false" customHeight="false" outlineLevel="0" collapsed="false">
      <c r="A104" s="73" t="s">
        <v>2334</v>
      </c>
      <c r="B104" s="73" t="s">
        <v>2335</v>
      </c>
      <c r="C104" s="86" t="n">
        <f aca="false">AL_Nmajor</f>
        <v>1</v>
      </c>
      <c r="D104" s="86" t="n">
        <f aca="false">AL_Nrefresh</f>
        <v>2</v>
      </c>
      <c r="E104" s="86" t="n">
        <f aca="false">AL_k</f>
        <v>1</v>
      </c>
      <c r="F104" s="76" t="n">
        <f aca="false">AL_APIratio</f>
        <v>0.75</v>
      </c>
      <c r="G104" s="67" t="n">
        <f aca="false">AL_TokPerPrompt</f>
        <v>4000</v>
      </c>
      <c r="H104" s="85" t="n">
        <f aca="false">AL_FreeShare</f>
        <v>0.6</v>
      </c>
      <c r="I104" s="85" t="n">
        <f aca="false">AL_MixHopper</f>
        <v>0.6</v>
      </c>
      <c r="J104" s="85" t="n">
        <f aca="false">AL_MixGB200</f>
        <v>0.4</v>
      </c>
      <c r="K104" s="85" t="n">
        <f aca="false">AL_MixGB300</f>
        <v>0</v>
      </c>
      <c r="L104" s="85" t="n">
        <f aca="false">AL_MixVR200</f>
        <v>0</v>
      </c>
      <c r="M104" s="67" t="n">
        <f aca="false">SRC_DEM_010*1000000000*525600*F104/1000000+SRC_DEM_012*1000000000*G104*365/1000000*(1-H104)</f>
        <v>3825200000</v>
      </c>
      <c r="N104" s="67" t="n">
        <f aca="false">SRC_DEM_012*1000000000*G104*365/1000000*H104</f>
        <v>2190000000</v>
      </c>
      <c r="O104" s="67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28641881857.3138</v>
      </c>
      <c r="P104" s="67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88207684100.2911</v>
      </c>
      <c r="Q104" s="72" t="n">
        <f aca="false">IF(O104="整代不可達","整代不可達",IF(AND(ISNUMBER(O104),ISNUMBER(P104)),IF(AND(O104&gt;0,P104&gt;0),M104/O104+N104/P104,"SLO 不可達"),"SLO 不可達"))</f>
        <v>0.15838044607184</v>
      </c>
      <c r="R104" s="72" t="n">
        <f aca="false">IF(AND(ISNUMBER(AL_FamGWyr),ISNUMBER(AL_RefGWyr)),E104*(C104*AL_FamGWyr+D104*AL_RefGWyr),"SLO 不可達")</f>
        <v>0.0906847035646163</v>
      </c>
      <c r="S104" s="103" t="n">
        <f aca="false">IF(Q104="整代不可達","整代不可達",IF(AND(ISNUMBER(Q104),ISNUMBER(R104)),R104/(R104+Q104),"SLO 不可達"))</f>
        <v>0.364100331567795</v>
      </c>
      <c r="T104" s="103" t="n">
        <f aca="false">IF(Q104="整代不可達","整代不可達",IF(AND(ISNUMBER(Q104),ISNUMBER(R104)),R104*AL_HoldTrain/(R104*AL_HoldTrain+Q104*(IF(AND(I104&gt;0,$C$26=1),I104*$C$39,0)+IF(AND(J104&gt;0,$D$26=1),J104*$D$39,0)+IF(AND(K104&gt;0,$E$26=1),K104*$E$39,0)+IF(AND(L104&gt;0,$F$26=1),L104*$F$39,0))/(IF(AND(I104&gt;0,$C$26=1),I104,0)+IF(AND(J104&gt;0,$D$26=1),J104,0)+IF(AND(K104&gt;0,$E$26=1),K104,0)+IF(AND(L104&gt;0,$F$26=1),L104,0))),"SLO 不可達"))</f>
        <v>0.428052929990199</v>
      </c>
      <c r="U104" s="114" t="n">
        <f aca="false">IF(ISNUMBER(R104),R104*AL_HoldTrain,"SLO 不可達")</f>
        <v>1.10866321398852</v>
      </c>
      <c r="V104" s="71" t="n">
        <f aca="false">(M104+N104)/365/1000000</f>
        <v>16.48</v>
      </c>
    </row>
    <row r="105" customFormat="false" ht="15" hidden="false" customHeight="false" outlineLevel="0" collapsed="false">
      <c r="A105" s="73" t="s">
        <v>2336</v>
      </c>
      <c r="B105" s="73" t="s">
        <v>2335</v>
      </c>
      <c r="C105" s="86" t="n">
        <f aca="false">AL_Nmajor</f>
        <v>1</v>
      </c>
      <c r="D105" s="86" t="n">
        <f aca="false">AL_Nrefresh</f>
        <v>2</v>
      </c>
      <c r="E105" s="86" t="n">
        <f aca="false">AL_k</f>
        <v>1</v>
      </c>
      <c r="F105" s="76" t="n">
        <f aca="false">AL_APIratio</f>
        <v>0.75</v>
      </c>
      <c r="G105" s="67" t="n">
        <f aca="false">AL_TokPerPrompt</f>
        <v>4000</v>
      </c>
      <c r="H105" s="85" t="n">
        <f aca="false">AL_FreeShare</f>
        <v>0.6</v>
      </c>
      <c r="I105" s="85" t="n">
        <f aca="false">AL_MixHopper</f>
        <v>0.6</v>
      </c>
      <c r="J105" s="85" t="n">
        <f aca="false">AL_MixGB200</f>
        <v>0.4</v>
      </c>
      <c r="K105" s="85" t="n">
        <f aca="false">AL_MixGB300</f>
        <v>0</v>
      </c>
      <c r="L105" s="85" t="n">
        <f aca="false">AL_MixVR200</f>
        <v>0</v>
      </c>
      <c r="M105" s="67" t="n">
        <f aca="false">SRC_DEM_010*1000000000*525600*F105/1000000+SRC_DEM_012*1000000000*G105*365/1000000*(1-H105)</f>
        <v>3825200000</v>
      </c>
      <c r="N105" s="67" t="n">
        <f aca="false">SRC_DEM_012*1000000000*G105*365/1000000*H105</f>
        <v>2190000000</v>
      </c>
      <c r="O105" s="67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28641881857.3138</v>
      </c>
      <c r="P105" s="67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88207684100.2911</v>
      </c>
      <c r="Q105" s="72" t="n">
        <f aca="false">IF(O105="整代不可達","整代不可達",IF(AND(ISNUMBER(O105),ISNUMBER(P105)),IF(AND(O105&gt;0,P105&gt;0),M105/O105+N105/P105,"SLO 不可達"),"SLO 不可達"))</f>
        <v>0.15838044607184</v>
      </c>
      <c r="R105" s="72" t="n">
        <f aca="false">IF(AND(ISNUMBER(AL_FamGWyr),ISNUMBER(AL_RefGWyr)),E105*(C105*AL_FamGWyr+D105*AL_RefGWyr),"SLO 不可達")</f>
        <v>0.0906847035646163</v>
      </c>
      <c r="S105" s="103" t="n">
        <f aca="false">IF(Q105="整代不可達","整代不可達",IF(AND(ISNUMBER(Q105),ISNUMBER(R105)),R105/(R105+Q105),"SLO 不可達"))</f>
        <v>0.364100331567795</v>
      </c>
      <c r="T105" s="103" t="n">
        <f aca="false">IF(Q105="整代不可達","整代不可達",IF(AND(ISNUMBER(Q105),ISNUMBER(R105)),R105*AL_HoldTrain/(R105*AL_HoldTrain+Q105*(IF(AND(I105&gt;0,$C$26=1),I105*$C$39,0)+IF(AND(J105&gt;0,$D$26=1),J105*$D$39,0)+IF(AND(K105&gt;0,$E$26=1),K105*$E$39,0)+IF(AND(L105&gt;0,$F$26=1),L105*$F$39,0))/(IF(AND(I105&gt;0,$C$26=1),I105,0)+IF(AND(J105&gt;0,$D$26=1),J105,0)+IF(AND(K105&gt;0,$E$26=1),K105,0)+IF(AND(L105&gt;0,$F$26=1),L105,0))),"SLO 不可達"))</f>
        <v>0.428052929990199</v>
      </c>
      <c r="U105" s="114" t="n">
        <f aca="false">IF(ISNUMBER(R105),R105*AL_HoldTrain,"SLO 不可達")</f>
        <v>1.10866321398852</v>
      </c>
      <c r="V105" s="71" t="n">
        <f aca="false">(M105+N105)/365/1000000</f>
        <v>16.48</v>
      </c>
    </row>
    <row r="106" customFormat="false" ht="15" hidden="false" customHeight="false" outlineLevel="0" collapsed="false">
      <c r="A106" s="73" t="s">
        <v>2337</v>
      </c>
      <c r="B106" s="58" t="s">
        <v>2338</v>
      </c>
      <c r="C106" s="86" t="n">
        <f aca="false">AL_Nmajor</f>
        <v>1</v>
      </c>
      <c r="D106" s="86" t="n">
        <f aca="false">AL_Nrefresh</f>
        <v>2</v>
      </c>
      <c r="E106" s="86" t="n">
        <f aca="false">AL_k</f>
        <v>1</v>
      </c>
      <c r="F106" s="76" t="n">
        <f aca="false">AL_APIratio</f>
        <v>0.75</v>
      </c>
      <c r="G106" s="67" t="n">
        <f aca="false">AL_TokPerPrompt</f>
        <v>4000</v>
      </c>
      <c r="H106" s="85" t="n">
        <f aca="false">AL_FreeShare</f>
        <v>0.6</v>
      </c>
      <c r="I106" s="85" t="n">
        <f aca="false">AL_MixHopper</f>
        <v>0.6</v>
      </c>
      <c r="J106" s="85" t="n">
        <f aca="false">AL_MixGB200</f>
        <v>0.4</v>
      </c>
      <c r="K106" s="85" t="n">
        <f aca="false">AL_MixGB300</f>
        <v>0</v>
      </c>
      <c r="L106" s="85" t="n">
        <f aca="false">AL_MixVR200</f>
        <v>0</v>
      </c>
      <c r="M106" s="67" t="n">
        <f aca="false">SRC_DEM_010*1000000000*525600*F106/1000000+SRC_DEM_012*1000000000*G106*365/1000000*(1-H106)</f>
        <v>3825200000</v>
      </c>
      <c r="N106" s="67" t="n">
        <f aca="false">SRC_DEM_012*1000000000*G106*365/1000000*H106</f>
        <v>2190000000</v>
      </c>
      <c r="O106" s="67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28641881857.3138</v>
      </c>
      <c r="P106" s="67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88207684100.2911</v>
      </c>
      <c r="Q106" s="72" t="n">
        <f aca="false">IF(O106="整代不可達","整代不可達",IF(AND(ISNUMBER(O106),ISNUMBER(P106)),IF(AND(O106&gt;0,P106&gt;0),M106/O106+N106/P106,"SLO 不可達"),"SLO 不可達"))</f>
        <v>0.15838044607184</v>
      </c>
      <c r="R106" s="72" t="n">
        <f aca="false">IF(AND(ISNUMBER(AL_FamGWyr),ISNUMBER(AL_RefGWyr)),E106*(C106*AL_FamGWyr+D106*AL_RefGWyr),"SLO 不可達")</f>
        <v>0.0906847035646163</v>
      </c>
      <c r="S106" s="103" t="n">
        <f aca="false">IF(Q106="整代不可達","整代不可達",IF(AND(ISNUMBER(Q106),ISNUMBER(R106)),R106/(R106+Q106),"SLO 不可達"))</f>
        <v>0.364100331567795</v>
      </c>
      <c r="T106" s="103" t="n">
        <f aca="false">IF(Q106="整代不可達","整代不可達",IF(AND(ISNUMBER(Q106),ISNUMBER(R106)),R106*AL_HoldTrain/(R106*AL_HoldTrain+Q106*(IF(AND(I106&gt;0,$C$26=1),I106*$C$39,0)+IF(AND(J106&gt;0,$D$26=1),J106*$D$39,0)+IF(AND(K106&gt;0,$E$26=1),K106*$E$39,0)+IF(AND(L106&gt;0,$F$26=1),L106*$F$39,0))/(IF(AND(I106&gt;0,$C$26=1),I106,0)+IF(AND(J106&gt;0,$D$26=1),J106,0)+IF(AND(K106&gt;0,$E$26=1),K106,0)+IF(AND(L106&gt;0,$F$26=1),L106,0))),"SLO 不可達"))</f>
        <v>0.428052929990199</v>
      </c>
      <c r="U106" s="114" t="n">
        <f aca="false">IF(ISNUMBER(R106),R106*AL_HoldTrain,"SLO 不可達")</f>
        <v>1.10866321398852</v>
      </c>
      <c r="V106" s="71" t="n">
        <f aca="false">(M106+N106)/365/1000000</f>
        <v>16.48</v>
      </c>
    </row>
    <row r="107" customFormat="false" ht="15" hidden="false" customHeight="false" outlineLevel="0" collapsed="false">
      <c r="A107" s="73" t="s">
        <v>2339</v>
      </c>
      <c r="B107" s="58" t="s">
        <v>2338</v>
      </c>
      <c r="C107" s="86" t="n">
        <f aca="false">AL_Nmajor</f>
        <v>1</v>
      </c>
      <c r="D107" s="86" t="n">
        <f aca="false">AL_Nrefresh</f>
        <v>2</v>
      </c>
      <c r="E107" s="86" t="n">
        <f aca="false">AL_k</f>
        <v>1</v>
      </c>
      <c r="F107" s="76" t="n">
        <f aca="false">AL_APIratio</f>
        <v>0.75</v>
      </c>
      <c r="G107" s="67" t="n">
        <f aca="false">AL_TokPerPrompt</f>
        <v>4000</v>
      </c>
      <c r="H107" s="85" t="n">
        <f aca="false">AL_FreeShare</f>
        <v>0.6</v>
      </c>
      <c r="I107" s="85" t="n">
        <f aca="false">AL_MixHopper</f>
        <v>0.6</v>
      </c>
      <c r="J107" s="85" t="n">
        <f aca="false">AL_MixGB200</f>
        <v>0.4</v>
      </c>
      <c r="K107" s="85" t="n">
        <f aca="false">AL_MixGB300</f>
        <v>0</v>
      </c>
      <c r="L107" s="85" t="n">
        <f aca="false">AL_MixVR200</f>
        <v>0</v>
      </c>
      <c r="M107" s="67" t="n">
        <f aca="false">SRC_DEM_010*1000000000*525600*F107/1000000+SRC_DEM_012*1000000000*G107*365/1000000*(1-H107)</f>
        <v>3825200000</v>
      </c>
      <c r="N107" s="67" t="n">
        <f aca="false">SRC_DEM_012*1000000000*G107*365/1000000*H107</f>
        <v>2190000000</v>
      </c>
      <c r="O107" s="67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28641881857.3138</v>
      </c>
      <c r="P107" s="67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88207684100.2911</v>
      </c>
      <c r="Q107" s="72" t="n">
        <f aca="false">IF(O107="整代不可達","整代不可達",IF(AND(ISNUMBER(O107),ISNUMBER(P107)),IF(AND(O107&gt;0,P107&gt;0),M107/O107+N107/P107,"SLO 不可達"),"SLO 不可達"))</f>
        <v>0.15838044607184</v>
      </c>
      <c r="R107" s="72" t="n">
        <f aca="false">IF(AND(ISNUMBER(AL_FamGWyr),ISNUMBER(AL_RefGWyr)),E107*(C107*AL_FamGWyr+D107*AL_RefGWyr),"SLO 不可達")</f>
        <v>0.0906847035646163</v>
      </c>
      <c r="S107" s="103" t="n">
        <f aca="false">IF(Q107="整代不可達","整代不可達",IF(AND(ISNUMBER(Q107),ISNUMBER(R107)),R107/(R107+Q107),"SLO 不可達"))</f>
        <v>0.364100331567795</v>
      </c>
      <c r="T107" s="103" t="n">
        <f aca="false">IF(Q107="整代不可達","整代不可達",IF(AND(ISNUMBER(Q107),ISNUMBER(R107)),R107*AL_HoldTrain/(R107*AL_HoldTrain+Q107*(IF(AND(I107&gt;0,$C$26=1),I107*$C$39,0)+IF(AND(J107&gt;0,$D$26=1),J107*$D$39,0)+IF(AND(K107&gt;0,$E$26=1),K107*$E$39,0)+IF(AND(L107&gt;0,$F$26=1),L107*$F$39,0))/(IF(AND(I107&gt;0,$C$26=1),I107,0)+IF(AND(J107&gt;0,$D$26=1),J107,0)+IF(AND(K107&gt;0,$E$26=1),K107,0)+IF(AND(L107&gt;0,$F$26=1),L107,0))),"SLO 不可達"))</f>
        <v>0.428052929990199</v>
      </c>
      <c r="U107" s="114" t="n">
        <f aca="false">IF(ISNUMBER(R107),R107*AL_HoldTrain,"SLO 不可達")</f>
        <v>1.10866321398852</v>
      </c>
      <c r="V107" s="71" t="n">
        <f aca="false">(M107+N107)/365/1000000</f>
        <v>16.48</v>
      </c>
    </row>
    <row r="108" customFormat="false" ht="15" hidden="false" customHeight="false" outlineLevel="0" collapsed="false">
      <c r="A108" s="73" t="s">
        <v>2340</v>
      </c>
      <c r="B108" s="73" t="s">
        <v>2295</v>
      </c>
      <c r="C108" s="86" t="n">
        <f aca="false">AL_Nmajor</f>
        <v>1</v>
      </c>
      <c r="D108" s="86" t="n">
        <f aca="false">AL_Nrefresh</f>
        <v>2</v>
      </c>
      <c r="E108" s="86" t="n">
        <f aca="false">AL_k</f>
        <v>1</v>
      </c>
      <c r="F108" s="76" t="n">
        <f aca="false">AL_APIratio</f>
        <v>0.75</v>
      </c>
      <c r="G108" s="67" t="n">
        <f aca="false">AL_TokPerPrompt</f>
        <v>4000</v>
      </c>
      <c r="H108" s="85" t="n">
        <f aca="false">AL_FreeShare</f>
        <v>0.6</v>
      </c>
      <c r="I108" s="85" t="n">
        <f aca="false">AL_MixHopper</f>
        <v>0.6</v>
      </c>
      <c r="J108" s="85" t="n">
        <f aca="false">AL_MixGB200</f>
        <v>0.4</v>
      </c>
      <c r="K108" s="85" t="n">
        <f aca="false">AL_MixGB300</f>
        <v>0</v>
      </c>
      <c r="L108" s="85" t="n">
        <f aca="false">AL_MixVR200</f>
        <v>0</v>
      </c>
      <c r="M108" s="67" t="n">
        <f aca="false">SRC_DEM_010*1000000000*525600*F108/1000000+SRC_DEM_012*1000000000*G108*365/1000000*(1-H108)</f>
        <v>3825200000</v>
      </c>
      <c r="N108" s="67" t="n">
        <f aca="false">SRC_DEM_012*1000000000*G108*365/1000000*H108</f>
        <v>2190000000</v>
      </c>
      <c r="O108" s="67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28641881857.3138</v>
      </c>
      <c r="P108" s="67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88207684100.2911</v>
      </c>
      <c r="Q108" s="72" t="n">
        <f aca="false">IF(O108="整代不可達","整代不可達",IF(AND(ISNUMBER(O108),ISNUMBER(P108)),IF(AND(O108&gt;0,P108&gt;0),M108/O108+N108/P108,"SLO 不可達"),"SLO 不可達"))</f>
        <v>0.15838044607184</v>
      </c>
      <c r="R108" s="72" t="n">
        <f aca="false">IF(AND(ISNUMBER(AL_FamGWyr),ISNUMBER(AL_RefGWyr)),E108*(C108*AL_FamGWyr+D108*AL_RefGWyr),"SLO 不可達")</f>
        <v>0.0906847035646163</v>
      </c>
      <c r="S108" s="103" t="n">
        <f aca="false">IF(Q108="整代不可達","整代不可達",IF(AND(ISNUMBER(Q108),ISNUMBER(R108)),R108/(R108+Q108),"SLO 不可達"))</f>
        <v>0.364100331567795</v>
      </c>
      <c r="T108" s="103" t="n">
        <f aca="false">IF(Q108="整代不可達","整代不可達",IF(AND(ISNUMBER(Q108),ISNUMBER(R108)),R108*AL_HoldTrain/(R108*AL_HoldTrain+Q108*(IF(AND(I108&gt;0,$C$26=1),I108*$C$39,0)+IF(AND(J108&gt;0,$D$26=1),J108*$D$39,0)+IF(AND(K108&gt;0,$E$26=1),K108*$E$39,0)+IF(AND(L108&gt;0,$F$26=1),L108*$F$39,0))/(IF(AND(I108&gt;0,$C$26=1),I108,0)+IF(AND(J108&gt;0,$D$26=1),J108,0)+IF(AND(K108&gt;0,$E$26=1),K108,0)+IF(AND(L108&gt;0,$F$26=1),L108,0))),"SLO 不可達"))</f>
        <v>0.428052929990199</v>
      </c>
      <c r="U108" s="114" t="n">
        <f aca="false">IF(ISNUMBER(R108),R108*AL_HoldTrain,"SLO 不可達")</f>
        <v>1.10866321398852</v>
      </c>
      <c r="V108" s="71" t="n">
        <f aca="false">(M108+N108)/365/1000000</f>
        <v>16.48</v>
      </c>
    </row>
    <row r="109" customFormat="false" ht="15" hidden="false" customHeight="false" outlineLevel="0" collapsed="false">
      <c r="A109" s="73" t="s">
        <v>2341</v>
      </c>
      <c r="B109" s="73" t="s">
        <v>2295</v>
      </c>
      <c r="C109" s="86" t="n">
        <f aca="false">AL_Nmajor</f>
        <v>1</v>
      </c>
      <c r="D109" s="86" t="n">
        <f aca="false">AL_Nrefresh</f>
        <v>2</v>
      </c>
      <c r="E109" s="86" t="n">
        <f aca="false">AL_k</f>
        <v>1</v>
      </c>
      <c r="F109" s="76" t="n">
        <f aca="false">AL_APIratio</f>
        <v>0.75</v>
      </c>
      <c r="G109" s="67" t="n">
        <f aca="false">AL_TokPerPrompt</f>
        <v>4000</v>
      </c>
      <c r="H109" s="85" t="n">
        <f aca="false">AL_FreeShare</f>
        <v>0.6</v>
      </c>
      <c r="I109" s="85" t="n">
        <f aca="false">AL_MixHopper</f>
        <v>0.6</v>
      </c>
      <c r="J109" s="85" t="n">
        <f aca="false">AL_MixGB200</f>
        <v>0.4</v>
      </c>
      <c r="K109" s="85" t="n">
        <f aca="false">AL_MixGB300</f>
        <v>0</v>
      </c>
      <c r="L109" s="85" t="n">
        <f aca="false">AL_MixVR200</f>
        <v>0</v>
      </c>
      <c r="M109" s="67" t="n">
        <f aca="false">SRC_DEM_010*1000000000*525600*F109/1000000+SRC_DEM_012*1000000000*G109*365/1000000*(1-H109)</f>
        <v>3825200000</v>
      </c>
      <c r="N109" s="67" t="n">
        <f aca="false">SRC_DEM_012*1000000000*G109*365/1000000*H109</f>
        <v>2190000000</v>
      </c>
      <c r="O109" s="67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28641881857.3138</v>
      </c>
      <c r="P109" s="67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88207684100.2911</v>
      </c>
      <c r="Q109" s="72" t="n">
        <f aca="false">IF(O109="整代不可達","整代不可達",IF(AND(ISNUMBER(O109),ISNUMBER(P109)),IF(AND(O109&gt;0,P109&gt;0),M109/O109+N109/P109,"SLO 不可達"),"SLO 不可達"))</f>
        <v>0.15838044607184</v>
      </c>
      <c r="R109" s="72" t="n">
        <f aca="false">IF(AND(ISNUMBER(AL_FamGWyr),ISNUMBER(AL_RefGWyr)),E109*(C109*AL_FamGWyr+D109*AL_RefGWyr),"SLO 不可達")</f>
        <v>0.0906847035646163</v>
      </c>
      <c r="S109" s="103" t="n">
        <f aca="false">IF(Q109="整代不可達","整代不可達",IF(AND(ISNUMBER(Q109),ISNUMBER(R109)),R109/(R109+Q109),"SLO 不可達"))</f>
        <v>0.364100331567795</v>
      </c>
      <c r="T109" s="103" t="n">
        <f aca="false">IF(Q109="整代不可達","整代不可達",IF(AND(ISNUMBER(Q109),ISNUMBER(R109)),R109*AL_HoldTrain/(R109*AL_HoldTrain+Q109*(IF(AND(I109&gt;0,$C$26=1),I109*$C$39,0)+IF(AND(J109&gt;0,$D$26=1),J109*$D$39,0)+IF(AND(K109&gt;0,$E$26=1),K109*$E$39,0)+IF(AND(L109&gt;0,$F$26=1),L109*$F$39,0))/(IF(AND(I109&gt;0,$C$26=1),I109,0)+IF(AND(J109&gt;0,$D$26=1),J109,0)+IF(AND(K109&gt;0,$E$26=1),K109,0)+IF(AND(L109&gt;0,$F$26=1),L109,0))),"SLO 不可達"))</f>
        <v>0.428052929990199</v>
      </c>
      <c r="U109" s="114" t="n">
        <f aca="false">IF(ISNUMBER(R109),R109*AL_HoldTrain,"SLO 不可達")</f>
        <v>1.10866321398852</v>
      </c>
      <c r="V109" s="71" t="n">
        <f aca="false">(M109+N109)/365/1000000</f>
        <v>16.48</v>
      </c>
    </row>
    <row r="110" customFormat="false" ht="15" hidden="false" customHeight="false" outlineLevel="0" collapsed="false">
      <c r="A110" s="73" t="s">
        <v>2342</v>
      </c>
      <c r="B110" s="73" t="s">
        <v>2325</v>
      </c>
      <c r="C110" s="86" t="n">
        <f aca="false">AL_Nmajor</f>
        <v>1</v>
      </c>
      <c r="D110" s="86" t="n">
        <f aca="false">AL_Nrefresh</f>
        <v>2</v>
      </c>
      <c r="E110" s="86" t="n">
        <f aca="false">AL_k</f>
        <v>1</v>
      </c>
      <c r="F110" s="76" t="n">
        <f aca="false">AL_APIratio</f>
        <v>0.75</v>
      </c>
      <c r="G110" s="67" t="n">
        <f aca="false">AL_TokPerPrompt</f>
        <v>4000</v>
      </c>
      <c r="H110" s="85" t="n">
        <f aca="false">AL_FreeShare</f>
        <v>0.6</v>
      </c>
      <c r="I110" s="85" t="n">
        <f aca="false">AL_MixHopper</f>
        <v>0.6</v>
      </c>
      <c r="J110" s="85" t="n">
        <f aca="false">AL_MixGB200</f>
        <v>0.4</v>
      </c>
      <c r="K110" s="85" t="n">
        <f aca="false">AL_MixGB300</f>
        <v>0</v>
      </c>
      <c r="L110" s="85" t="n">
        <f aca="false">AL_MixVR200</f>
        <v>0</v>
      </c>
      <c r="M110" s="67" t="n">
        <f aca="false">SRC_DEM_010*1000000000*525600*F110/1000000+SRC_DEM_012*1000000000*G110*365/1000000*(1-H110)</f>
        <v>3825200000</v>
      </c>
      <c r="N110" s="67" t="n">
        <f aca="false">SRC_DEM_012*1000000000*G110*365/1000000*H110</f>
        <v>2190000000</v>
      </c>
      <c r="O110" s="67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28641881857.3138</v>
      </c>
      <c r="P110" s="67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88207684100.2911</v>
      </c>
      <c r="Q110" s="72" t="n">
        <f aca="false">IF(O110="整代不可達","整代不可達",IF(AND(ISNUMBER(O110),ISNUMBER(P110)),IF(AND(O110&gt;0,P110&gt;0),M110/O110+N110/P110,"SLO 不可達"),"SLO 不可達"))</f>
        <v>0.15838044607184</v>
      </c>
      <c r="R110" s="72" t="n">
        <f aca="false">IF(AND(ISNUMBER(AL_FamGWyr),ISNUMBER(AL_RefGWyr)),E110*(C110*AL_FamGWyr+D110*AL_RefGWyr),"SLO 不可達")</f>
        <v>0.0906847035646163</v>
      </c>
      <c r="S110" s="103" t="n">
        <f aca="false">IF(Q110="整代不可達","整代不可達",IF(AND(ISNUMBER(Q110),ISNUMBER(R110)),R110/(R110+Q110),"SLO 不可達"))</f>
        <v>0.364100331567795</v>
      </c>
      <c r="T110" s="103" t="n">
        <f aca="false">IF(Q110="整代不可達","整代不可達",IF(AND(ISNUMBER(Q110),ISNUMBER(R110)),R110*AL_HoldTrain/(R110*AL_HoldTrain+Q110*(IF(AND(I110&gt;0,$C$26=1),I110*$C$39,0)+IF(AND(J110&gt;0,$D$26=1),J110*$D$39,0)+IF(AND(K110&gt;0,$E$26=1),K110*$E$39,0)+IF(AND(L110&gt;0,$F$26=1),L110*$F$39,0))/(IF(AND(I110&gt;0,$C$26=1),I110,0)+IF(AND(J110&gt;0,$D$26=1),J110,0)+IF(AND(K110&gt;0,$E$26=1),K110,0)+IF(AND(L110&gt;0,$F$26=1),L110,0))),"SLO 不可達"))</f>
        <v>0.428052929990199</v>
      </c>
      <c r="U110" s="114" t="n">
        <f aca="false">IF(ISNUMBER(R110),R110*AL_HoldTrain,"SLO 不可達")</f>
        <v>1.10866321398852</v>
      </c>
      <c r="V110" s="71" t="n">
        <f aca="false">(M110+N110)/365/1000000</f>
        <v>16.48</v>
      </c>
    </row>
    <row r="111" customFormat="false" ht="15" hidden="false" customHeight="false" outlineLevel="0" collapsed="false">
      <c r="A111" s="73" t="s">
        <v>2343</v>
      </c>
      <c r="B111" s="73" t="s">
        <v>2325</v>
      </c>
      <c r="C111" s="86" t="n">
        <f aca="false">AL_Nmajor</f>
        <v>1</v>
      </c>
      <c r="D111" s="86" t="n">
        <f aca="false">AL_Nrefresh</f>
        <v>2</v>
      </c>
      <c r="E111" s="86" t="n">
        <f aca="false">AL_k</f>
        <v>1</v>
      </c>
      <c r="F111" s="76" t="n">
        <f aca="false">AL_APIratio</f>
        <v>0.75</v>
      </c>
      <c r="G111" s="67" t="n">
        <f aca="false">AL_TokPerPrompt</f>
        <v>4000</v>
      </c>
      <c r="H111" s="85" t="n">
        <f aca="false">AL_FreeShare</f>
        <v>0.6</v>
      </c>
      <c r="I111" s="85" t="n">
        <f aca="false">AL_MixHopper</f>
        <v>0.6</v>
      </c>
      <c r="J111" s="85" t="n">
        <f aca="false">AL_MixGB200</f>
        <v>0.4</v>
      </c>
      <c r="K111" s="85" t="n">
        <f aca="false">AL_MixGB300</f>
        <v>0</v>
      </c>
      <c r="L111" s="85" t="n">
        <f aca="false">AL_MixVR200</f>
        <v>0</v>
      </c>
      <c r="M111" s="67" t="n">
        <f aca="false">SRC_DEM_010*1000000000*525600*F111/1000000+SRC_DEM_012*1000000000*G111*365/1000000*(1-H111)</f>
        <v>3825200000</v>
      </c>
      <c r="N111" s="67" t="n">
        <f aca="false">SRC_DEM_012*1000000000*G111*365/1000000*H111</f>
        <v>2190000000</v>
      </c>
      <c r="O111" s="67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28641881857.3138</v>
      </c>
      <c r="P111" s="67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88207684100.2911</v>
      </c>
      <c r="Q111" s="72" t="n">
        <f aca="false">IF(O111="整代不可達","整代不可達",IF(AND(ISNUMBER(O111),ISNUMBER(P111)),IF(AND(O111&gt;0,P111&gt;0),M111/O111+N111/P111,"SLO 不可達"),"SLO 不可達"))</f>
        <v>0.15838044607184</v>
      </c>
      <c r="R111" s="72" t="n">
        <f aca="false">IF(AND(ISNUMBER(AL_FamGWyr),ISNUMBER(AL_RefGWyr)),E111*(C111*AL_FamGWyr+D111*AL_RefGWyr),"SLO 不可達")</f>
        <v>0.0906847035646163</v>
      </c>
      <c r="S111" s="103" t="n">
        <f aca="false">IF(Q111="整代不可達","整代不可達",IF(AND(ISNUMBER(Q111),ISNUMBER(R111)),R111/(R111+Q111),"SLO 不可達"))</f>
        <v>0.364100331567795</v>
      </c>
      <c r="T111" s="103" t="n">
        <f aca="false">IF(Q111="整代不可達","整代不可達",IF(AND(ISNUMBER(Q111),ISNUMBER(R111)),R111*AL_HoldTrain/(R111*AL_HoldTrain+Q111*(IF(AND(I111&gt;0,$C$26=1),I111*$C$39,0)+IF(AND(J111&gt;0,$D$26=1),J111*$D$39,0)+IF(AND(K111&gt;0,$E$26=1),K111*$E$39,0)+IF(AND(L111&gt;0,$F$26=1),L111*$F$39,0))/(IF(AND(I111&gt;0,$C$26=1),I111,0)+IF(AND(J111&gt;0,$D$26=1),J111,0)+IF(AND(K111&gt;0,$E$26=1),K111,0)+IF(AND(L111&gt;0,$F$26=1),L111,0))),"SLO 不可達"))</f>
        <v>0.428052929990199</v>
      </c>
      <c r="U111" s="114" t="n">
        <f aca="false">IF(ISNUMBER(R111),R111*AL_HoldTrain,"SLO 不可達")</f>
        <v>1.10866321398852</v>
      </c>
      <c r="V111" s="71" t="n">
        <f aca="false">(M111+N111)/365/1000000</f>
        <v>16.48</v>
      </c>
    </row>
    <row r="113" customFormat="false" ht="15" hidden="false" customHeight="false" outlineLevel="0" collapsed="false">
      <c r="A113" s="75" t="s">
        <v>2344</v>
      </c>
      <c r="B113" s="69"/>
      <c r="C113" s="69"/>
      <c r="D113" s="69"/>
      <c r="E113" s="69"/>
      <c r="F113" s="69"/>
      <c r="G113" s="69"/>
    </row>
    <row r="114" customFormat="false" ht="29.85" hidden="false" customHeight="false" outlineLevel="0" collapsed="false">
      <c r="A114" s="5" t="s">
        <v>2345</v>
      </c>
      <c r="B114" s="61" t="s">
        <v>1359</v>
      </c>
      <c r="C114" s="62" t="n">
        <f aca="false">IF(AND(ISNUMBER(C29),ISNUMBER(INDEX(Fleet_1GW!$C$19:$Q$19,1,C$17)),ISNUMBER(INDEX(Fleet_1GW_Prod!$C$19:$Q$19,1,C$17))),C29*INDEX(Fleet_1GW_Prod!$C$19:$Q$19,1,C$17)/INDEX(Fleet_1GW!$C$19:$Q$19,1,C$17),"SLO 不可達")</f>
        <v>11924590923.5795</v>
      </c>
      <c r="D114" s="62" t="n">
        <f aca="false">IF(AND(ISNUMBER(D29),ISNUMBER(INDEX(Fleet_1GW!$C$19:$Q$19,1,D$17)),ISNUMBER(INDEX(Fleet_1GW_Prod!$C$19:$Q$19,1,D$17))),D29*INDEX(Fleet_1GW_Prod!$C$19:$Q$19,1,D$17)/INDEX(Fleet_1GW!$C$19:$Q$19,1,D$17),"SLO 不可達")</f>
        <v>35211672511.609</v>
      </c>
      <c r="E114" s="62" t="n">
        <f aca="false">IF(AND(ISNUMBER(E29),ISNUMBER(INDEX(Fleet_1GW!$C$19:$Q$19,1,E$17)),ISNUMBER(INDEX(Fleet_1GW_Prod!$C$19:$Q$19,1,E$17))),E29*INDEX(Fleet_1GW_Prod!$C$19:$Q$19,1,E$17)/INDEX(Fleet_1GW!$C$19:$Q$19,1,E$17),"SLO 不可達")</f>
        <v>44304884154.5694</v>
      </c>
      <c r="F114" s="62" t="n">
        <f aca="false">IF(AND(ISNUMBER(F29),ISNUMBER(INDEX(Fleet_1GW!$C$19:$Q$19,1,F$17)),ISNUMBER(INDEX(Fleet_1GW_Prod!$C$19:$Q$19,1,F$17))),F29*INDEX(Fleet_1GW_Prod!$C$19:$Q$19,1,F$17)/INDEX(Fleet_1GW!$C$19:$Q$19,1,F$17),"SLO 不可達")</f>
        <v>87802607744.242</v>
      </c>
      <c r="G114" s="73" t="s">
        <v>2346</v>
      </c>
    </row>
    <row r="115" customFormat="false" ht="29.85" hidden="false" customHeight="false" outlineLevel="0" collapsed="false">
      <c r="A115" s="5" t="s">
        <v>2347</v>
      </c>
      <c r="B115" s="61" t="s">
        <v>1359</v>
      </c>
      <c r="C115" s="67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21239423558.7913</v>
      </c>
    </row>
    <row r="116" customFormat="false" ht="29.85" hidden="false" customHeight="false" outlineLevel="0" collapsed="false">
      <c r="A116" s="5" t="s">
        <v>2348</v>
      </c>
      <c r="B116" s="61" t="s">
        <v>103</v>
      </c>
      <c r="C116" s="152" t="n">
        <f aca="false">IF(AND(ISNUMBER(AL_BlendPaidProd),ISNUMBER(AL_BlendPaid)),IF(AL_BlendPaid&gt;0,AL_BlendPaidProd/AL_BlendPaid,"SLO 不可達"),"SLO 不可達")</f>
        <v>0.741551259257349</v>
      </c>
      <c r="G116" s="58" t="s">
        <v>2349</v>
      </c>
    </row>
    <row r="118" customFormat="false" ht="15" hidden="false" customHeight="false" outlineLevel="0" collapsed="false">
      <c r="A118" s="75" t="s">
        <v>2350</v>
      </c>
      <c r="B118" s="69"/>
      <c r="C118" s="69"/>
      <c r="D118" s="69"/>
      <c r="E118" s="69"/>
      <c r="F118" s="69"/>
      <c r="G118" s="69"/>
    </row>
    <row r="119" customFormat="false" ht="29.85" hidden="false" customHeight="false" outlineLevel="0" collapsed="false">
      <c r="A119" s="5" t="s">
        <v>2351</v>
      </c>
      <c r="B119" s="61" t="s">
        <v>807</v>
      </c>
      <c r="C119" s="72" t="n">
        <f aca="false">IF(C26=1,(IF(C19=1,INDEX(B4_MixPaid,1,1)*IF_PriceRef_Luna,0)+IF(C20=1,INDEX(B4_MixPaid,1,2)*IF_PriceRef_Sol,0)+IF(C21=1,INDEX(B4_MixPaid,1,3)*IF_PriceRef_Astra,0))/C22,"SLO 不可達")</f>
        <v>0.888637908496732</v>
      </c>
      <c r="D119" s="72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2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2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73" t="s">
        <v>2352</v>
      </c>
    </row>
    <row r="120" customFormat="false" ht="29.85" hidden="false" customHeight="false" outlineLevel="0" collapsed="false">
      <c r="A120" s="5" t="s">
        <v>2353</v>
      </c>
      <c r="B120" s="61" t="s">
        <v>807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1.58444748624066</v>
      </c>
      <c r="G120" s="73" t="s">
        <v>2354</v>
      </c>
    </row>
    <row r="121" customFormat="false" ht="29.85" hidden="false" customHeight="false" outlineLevel="0" collapsed="false">
      <c r="A121" s="5" t="s">
        <v>2355</v>
      </c>
      <c r="B121" s="61" t="s">
        <v>807</v>
      </c>
      <c r="C121" s="96" t="n">
        <f aca="false">Cap_In!$C$90</f>
        <v>1.96067555555556</v>
      </c>
    </row>
    <row r="122" customFormat="false" ht="15" hidden="false" customHeight="false" outlineLevel="0" collapsed="false">
      <c r="A122" s="5" t="s">
        <v>2356</v>
      </c>
      <c r="B122" s="61" t="s">
        <v>103</v>
      </c>
      <c r="C122" s="72" t="n">
        <f aca="false">IF(ISNUMBER(C120),C120/C121,C120)</f>
        <v>0.808113041319428</v>
      </c>
    </row>
    <row r="123" customFormat="false" ht="44" hidden="false" customHeight="false" outlineLevel="0" collapsed="false">
      <c r="A123" s="5" t="s">
        <v>2357</v>
      </c>
      <c r="C123" s="60" t="str">
        <f aca="false">IF(AL_ServeGW="整代不可達","整代不可達","SLO 不可達")</f>
        <v>SLO 不可達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2358</v>
      </c>
    </row>
    <row r="2" customFormat="false" ht="15" hidden="false" customHeight="false" outlineLevel="0" collapsed="false">
      <c r="A2" s="73" t="s">
        <v>2359</v>
      </c>
    </row>
    <row r="3" customFormat="false" ht="15" hidden="false" customHeight="false" outlineLevel="0" collapsed="false">
      <c r="S3" s="59" t="s">
        <v>2360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89" t="n">
        <f aca="false">Perf!C6</f>
        <v>1</v>
      </c>
      <c r="D6" s="89" t="n">
        <f aca="false">Perf!D6</f>
        <v>1</v>
      </c>
      <c r="E6" s="89" t="n">
        <f aca="false">Perf!E6</f>
        <v>1</v>
      </c>
      <c r="F6" s="89" t="n">
        <f aca="false">Perf!F6</f>
        <v>2</v>
      </c>
      <c r="G6" s="89" t="n">
        <f aca="false">Perf!G6</f>
        <v>2</v>
      </c>
      <c r="H6" s="89" t="n">
        <f aca="false">Perf!H6</f>
        <v>2</v>
      </c>
      <c r="I6" s="89" t="n">
        <f aca="false">Perf!I6</f>
        <v>3</v>
      </c>
      <c r="J6" s="89" t="n">
        <f aca="false">Perf!J6</f>
        <v>3</v>
      </c>
      <c r="K6" s="89" t="n">
        <f aca="false">Perf!K6</f>
        <v>3</v>
      </c>
      <c r="L6" s="89" t="n">
        <f aca="false">Perf!L6</f>
        <v>4</v>
      </c>
      <c r="M6" s="89" t="n">
        <f aca="false">Perf!M6</f>
        <v>4</v>
      </c>
      <c r="N6" s="89" t="n">
        <f aca="false">Perf!N6</f>
        <v>4</v>
      </c>
      <c r="O6" s="89" t="n">
        <f aca="false">Perf!O6</f>
        <v>5</v>
      </c>
      <c r="P6" s="89" t="n">
        <f aca="false">Perf!P6</f>
        <v>5</v>
      </c>
      <c r="Q6" s="89" t="n">
        <f aca="false">Perf!Q6</f>
        <v>5</v>
      </c>
      <c r="S6" s="89" t="n">
        <f aca="false">Perf!C6</f>
        <v>1</v>
      </c>
      <c r="T6" s="89" t="n">
        <f aca="false">Perf!D6</f>
        <v>1</v>
      </c>
      <c r="U6" s="89" t="n">
        <f aca="false">Perf!E6</f>
        <v>1</v>
      </c>
      <c r="V6" s="89" t="n">
        <f aca="false">Perf!F6</f>
        <v>2</v>
      </c>
      <c r="W6" s="89" t="n">
        <f aca="false">Perf!G6</f>
        <v>2</v>
      </c>
      <c r="X6" s="89" t="n">
        <f aca="false">Perf!H6</f>
        <v>2</v>
      </c>
      <c r="Y6" s="89" t="n">
        <f aca="false">Perf!I6</f>
        <v>3</v>
      </c>
      <c r="Z6" s="89" t="n">
        <f aca="false">Perf!J6</f>
        <v>3</v>
      </c>
      <c r="AA6" s="89" t="n">
        <f aca="false">Perf!K6</f>
        <v>3</v>
      </c>
      <c r="AB6" s="89" t="n">
        <f aca="false">Perf!L6</f>
        <v>4</v>
      </c>
      <c r="AC6" s="89" t="n">
        <f aca="false">Perf!M6</f>
        <v>4</v>
      </c>
      <c r="AD6" s="89" t="n">
        <f aca="false">Perf!N6</f>
        <v>4</v>
      </c>
      <c r="AE6" s="89" t="n">
        <f aca="false">Perf!O6</f>
        <v>5</v>
      </c>
      <c r="AF6" s="89" t="n">
        <f aca="false">Perf!P6</f>
        <v>5</v>
      </c>
      <c r="AG6" s="89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89" t="n">
        <f aca="false">Perf!C7</f>
        <v>1</v>
      </c>
      <c r="D7" s="89" t="n">
        <f aca="false">Perf!D7</f>
        <v>2</v>
      </c>
      <c r="E7" s="89" t="n">
        <f aca="false">Perf!E7</f>
        <v>3</v>
      </c>
      <c r="F7" s="89" t="n">
        <f aca="false">Perf!F7</f>
        <v>1</v>
      </c>
      <c r="G7" s="89" t="n">
        <f aca="false">Perf!G7</f>
        <v>2</v>
      </c>
      <c r="H7" s="89" t="n">
        <f aca="false">Perf!H7</f>
        <v>3</v>
      </c>
      <c r="I7" s="89" t="n">
        <f aca="false">Perf!I7</f>
        <v>1</v>
      </c>
      <c r="J7" s="89" t="n">
        <f aca="false">Perf!J7</f>
        <v>2</v>
      </c>
      <c r="K7" s="89" t="n">
        <f aca="false">Perf!K7</f>
        <v>3</v>
      </c>
      <c r="L7" s="89" t="n">
        <f aca="false">Perf!L7</f>
        <v>1</v>
      </c>
      <c r="M7" s="89" t="n">
        <f aca="false">Perf!M7</f>
        <v>2</v>
      </c>
      <c r="N7" s="89" t="n">
        <f aca="false">Perf!N7</f>
        <v>3</v>
      </c>
      <c r="O7" s="89" t="n">
        <f aca="false">Perf!O7</f>
        <v>1</v>
      </c>
      <c r="P7" s="89" t="n">
        <f aca="false">Perf!P7</f>
        <v>2</v>
      </c>
      <c r="Q7" s="89" t="n">
        <f aca="false">Perf!Q7</f>
        <v>3</v>
      </c>
      <c r="S7" s="89" t="n">
        <f aca="false">Perf!C7</f>
        <v>1</v>
      </c>
      <c r="T7" s="89" t="n">
        <f aca="false">Perf!D7</f>
        <v>2</v>
      </c>
      <c r="U7" s="89" t="n">
        <f aca="false">Perf!E7</f>
        <v>3</v>
      </c>
      <c r="V7" s="89" t="n">
        <f aca="false">Perf!F7</f>
        <v>1</v>
      </c>
      <c r="W7" s="89" t="n">
        <f aca="false">Perf!G7</f>
        <v>2</v>
      </c>
      <c r="X7" s="89" t="n">
        <f aca="false">Perf!H7</f>
        <v>3</v>
      </c>
      <c r="Y7" s="89" t="n">
        <f aca="false">Perf!I7</f>
        <v>1</v>
      </c>
      <c r="Z7" s="89" t="n">
        <f aca="false">Perf!J7</f>
        <v>2</v>
      </c>
      <c r="AA7" s="89" t="n">
        <f aca="false">Perf!K7</f>
        <v>3</v>
      </c>
      <c r="AB7" s="89" t="n">
        <f aca="false">Perf!L7</f>
        <v>1</v>
      </c>
      <c r="AC7" s="89" t="n">
        <f aca="false">Perf!M7</f>
        <v>2</v>
      </c>
      <c r="AD7" s="89" t="n">
        <f aca="false">Perf!N7</f>
        <v>3</v>
      </c>
      <c r="AE7" s="89" t="n">
        <f aca="false">Perf!O7</f>
        <v>1</v>
      </c>
      <c r="AF7" s="89" t="n">
        <f aca="false">Perf!P7</f>
        <v>2</v>
      </c>
      <c r="AG7" s="89" t="n">
        <f aca="false">Perf!Q7</f>
        <v>3</v>
      </c>
    </row>
    <row r="50" customFormat="false" ht="15" hidden="false" customHeight="false" outlineLevel="0" collapsed="false">
      <c r="A50" s="60" t="s">
        <v>367</v>
      </c>
      <c r="B50" s="58" t="s">
        <v>103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1" t="s">
        <v>754</v>
      </c>
      <c r="B51" s="58" t="s">
        <v>99</v>
      </c>
      <c r="C51" s="109" t="n">
        <f aca="false">INDEX(Calib!$C$72:$G$72,Perf!C$6)*Perf_Prod!C50</f>
        <v>0.127435573521981</v>
      </c>
      <c r="D51" s="109" t="n">
        <f aca="false">INDEX(Calib!$C$72:$G$72,Perf!D$6)*Perf_Prod!D50</f>
        <v>0.127435573521981</v>
      </c>
      <c r="E51" s="109" t="n">
        <f aca="false">INDEX(Calib!$C$72:$G$72,Perf!E$6)*Perf_Prod!E50</f>
        <v>0.127435573521981</v>
      </c>
      <c r="F51" s="109" t="n">
        <f aca="false">INDEX(Calib!$C$72:$G$72,Perf!F$6)*Perf_Prod!F50</f>
        <v>0.255</v>
      </c>
      <c r="G51" s="109" t="n">
        <f aca="false">INDEX(Calib!$C$72:$G$72,Perf!G$6)*Perf_Prod!G50</f>
        <v>0.255</v>
      </c>
      <c r="H51" s="109" t="n">
        <f aca="false">INDEX(Calib!$C$72:$G$72,Perf!H$6)*Perf_Prod!H50</f>
        <v>0.255</v>
      </c>
      <c r="I51" s="109" t="n">
        <f aca="false">INDEX(Calib!$C$72:$G$72,Perf!I$6)*Perf_Prod!I50</f>
        <v>0.255</v>
      </c>
      <c r="J51" s="109" t="n">
        <f aca="false">INDEX(Calib!$C$72:$G$72,Perf!J$6)*Perf_Prod!J50</f>
        <v>0.255</v>
      </c>
      <c r="K51" s="109" t="n">
        <f aca="false">INDEX(Calib!$C$72:$G$72,Perf!K$6)*Perf_Prod!K50</f>
        <v>0.255</v>
      </c>
      <c r="L51" s="109" t="n">
        <f aca="false">INDEX(Calib!$C$72:$G$72,Perf!L$6)*Perf_Prod!L50</f>
        <v>0.255</v>
      </c>
      <c r="M51" s="109" t="n">
        <f aca="false">INDEX(Calib!$C$72:$G$72,Perf!M$6)*Perf_Prod!M50</f>
        <v>0.255</v>
      </c>
      <c r="N51" s="109" t="n">
        <f aca="false">INDEX(Calib!$C$72:$G$72,Perf!N$6)*Perf_Prod!N50</f>
        <v>0.255</v>
      </c>
      <c r="O51" s="109" t="n">
        <f aca="false">INDEX(Calib!$C$72:$G$72,Perf!O$6)*Perf_Prod!O50</f>
        <v>0.255</v>
      </c>
      <c r="P51" s="109" t="n">
        <f aca="false">INDEX(Calib!$C$72:$G$72,Perf!P$6)*Perf_Prod!P50</f>
        <v>0.255</v>
      </c>
      <c r="Q51" s="109" t="n">
        <f aca="false">INDEX(Calib!$C$72:$G$72,Perf!Q$6)*Perf_Prod!Q50</f>
        <v>0.255</v>
      </c>
      <c r="S51" s="109" t="n">
        <f aca="false">INDEX(Calib!$C$72:$G$72,Perf!C$6)*Perf_Prod!S50</f>
        <v>0.149924204143507</v>
      </c>
      <c r="T51" s="109" t="n">
        <f aca="false">INDEX(Calib!$C$72:$G$72,Perf!D$6)*Perf_Prod!T50</f>
        <v>0.149924204143507</v>
      </c>
      <c r="U51" s="109" t="n">
        <f aca="false">INDEX(Calib!$C$72:$G$72,Perf!E$6)*Perf_Prod!U50</f>
        <v>0.149924204143507</v>
      </c>
      <c r="V51" s="109" t="n">
        <f aca="false">INDEX(Calib!$C$72:$G$72,Perf!F$6)*Perf_Prod!V50</f>
        <v>0.3</v>
      </c>
      <c r="W51" s="109" t="n">
        <f aca="false">INDEX(Calib!$C$72:$G$72,Perf!G$6)*Perf_Prod!W50</f>
        <v>0.3</v>
      </c>
      <c r="X51" s="109" t="n">
        <f aca="false">INDEX(Calib!$C$72:$G$72,Perf!H$6)*Perf_Prod!X50</f>
        <v>0.3</v>
      </c>
      <c r="Y51" s="109" t="n">
        <f aca="false">INDEX(Calib!$C$72:$G$72,Perf!I$6)*Perf_Prod!Y50</f>
        <v>0.3</v>
      </c>
      <c r="Z51" s="109" t="n">
        <f aca="false">INDEX(Calib!$C$72:$G$72,Perf!J$6)*Perf_Prod!Z50</f>
        <v>0.3</v>
      </c>
      <c r="AA51" s="109" t="n">
        <f aca="false">INDEX(Calib!$C$72:$G$72,Perf!K$6)*Perf_Prod!AA50</f>
        <v>0.3</v>
      </c>
      <c r="AB51" s="109" t="n">
        <f aca="false">INDEX(Calib!$C$72:$G$72,Perf!L$6)*Perf_Prod!AB50</f>
        <v>0.3</v>
      </c>
      <c r="AC51" s="109" t="n">
        <f aca="false">INDEX(Calib!$C$72:$G$72,Perf!M$6)*Perf_Prod!AC50</f>
        <v>0.3</v>
      </c>
      <c r="AD51" s="109" t="n">
        <f aca="false">INDEX(Calib!$C$72:$G$72,Perf!N$6)*Perf_Prod!AD50</f>
        <v>0.3</v>
      </c>
      <c r="AE51" s="109" t="n">
        <f aca="false">INDEX(Calib!$C$72:$G$72,Perf!O$6)*Perf_Prod!AE50</f>
        <v>0.3</v>
      </c>
      <c r="AF51" s="109" t="n">
        <f aca="false">INDEX(Calib!$C$72:$G$72,Perf!P$6)*Perf_Prod!AF50</f>
        <v>0.3</v>
      </c>
      <c r="AG51" s="109" t="n">
        <f aca="false">INDEX(Calib!$C$72:$G$72,Perf!Q$6)*Perf_Prod!AG50</f>
        <v>0.3</v>
      </c>
    </row>
    <row r="53" customFormat="false" ht="15" hidden="false" customHeight="false" outlineLevel="0" collapsed="false">
      <c r="A53" s="61" t="s">
        <v>756</v>
      </c>
      <c r="B53" s="58" t="s">
        <v>99</v>
      </c>
      <c r="C53" s="110" t="n">
        <f aca="false">INDEX(Calib!$C$70:$G$70,Perf!C$6)*Perf!C52*Perf_Prod!C50</f>
        <v>0.0364701341698813</v>
      </c>
      <c r="D53" s="110" t="n">
        <f aca="false">INDEX(Calib!$C$70:$G$70,Perf!D$6)*Perf!D52*Perf_Prod!D50</f>
        <v>0.0364701341698813</v>
      </c>
      <c r="E53" s="110" t="n">
        <f aca="false">INDEX(Calib!$C$70:$G$70,Perf!E$6)*Perf!E52*Perf_Prod!E50</f>
        <v>0.0364701341698813</v>
      </c>
      <c r="F53" s="110" t="n">
        <f aca="false">INDEX(Calib!$C$70:$G$70,Perf!F$6)*Perf!F52*Perf_Prod!F50</f>
        <v>0.0303917784749011</v>
      </c>
      <c r="G53" s="110" t="n">
        <f aca="false">INDEX(Calib!$C$70:$G$70,Perf!G$6)*Perf!G52*Perf_Prod!G50</f>
        <v>0.0303917784749011</v>
      </c>
      <c r="H53" s="110" t="n">
        <f aca="false">INDEX(Calib!$C$70:$G$70,Perf!H$6)*Perf!H52*Perf_Prod!H50</f>
        <v>0.0303917784749011</v>
      </c>
      <c r="I53" s="110" t="n">
        <f aca="false">INDEX(Calib!$C$70:$G$70,Perf!I$6)*Perf!I52*Perf_Prod!I50</f>
        <v>0.0303917784749011</v>
      </c>
      <c r="J53" s="110" t="n">
        <f aca="false">INDEX(Calib!$C$70:$G$70,Perf!J$6)*Perf!J52*Perf_Prod!J50</f>
        <v>0.0303917784749011</v>
      </c>
      <c r="K53" s="110" t="n">
        <f aca="false">INDEX(Calib!$C$70:$G$70,Perf!K$6)*Perf!K52*Perf_Prod!K50</f>
        <v>0.0303917784749011</v>
      </c>
      <c r="L53" s="110" t="n">
        <f aca="false">INDEX(Calib!$C$70:$G$70,Perf!L$6)*Perf!L52*Perf_Prod!L50</f>
        <v>0.0303917784749011</v>
      </c>
      <c r="M53" s="110" t="n">
        <f aca="false">INDEX(Calib!$C$70:$G$70,Perf!M$6)*Perf!M52*Perf_Prod!M50</f>
        <v>0.0303917784749011</v>
      </c>
      <c r="N53" s="110" t="n">
        <f aca="false">INDEX(Calib!$C$70:$G$70,Perf!N$6)*Perf!N52*Perf_Prod!N50</f>
        <v>0.0303917784749011</v>
      </c>
      <c r="O53" s="110" t="n">
        <f aca="false">INDEX(Calib!$C$70:$G$70,Perf!O$6)*Perf!O52*Perf_Prod!O50</f>
        <v>0.0303917784749011</v>
      </c>
      <c r="P53" s="110" t="n">
        <f aca="false">INDEX(Calib!$C$70:$G$70,Perf!P$6)*Perf!P52*Perf_Prod!P50</f>
        <v>0.0303917784749011</v>
      </c>
      <c r="Q53" s="110" t="n">
        <f aca="false">INDEX(Calib!$C$70:$G$70,Perf!Q$6)*Perf!Q52*Perf_Prod!Q50</f>
        <v>0.0303917784749011</v>
      </c>
      <c r="S53" s="110" t="n">
        <f aca="false">INDEX(Calib!$C$70:$G$70,Perf!C$6)*Perf!C52*Perf_Prod!S50</f>
        <v>0.0429060401998604</v>
      </c>
      <c r="T53" s="110" t="n">
        <f aca="false">INDEX(Calib!$C$70:$G$70,Perf!D$6)*Perf!D52*Perf_Prod!T50</f>
        <v>0.0429060401998604</v>
      </c>
      <c r="U53" s="110" t="n">
        <f aca="false">INDEX(Calib!$C$70:$G$70,Perf!E$6)*Perf!E52*Perf_Prod!U50</f>
        <v>0.0429060401998604</v>
      </c>
      <c r="V53" s="110" t="n">
        <f aca="false">INDEX(Calib!$C$70:$G$70,Perf!F$6)*Perf!F52*Perf_Prod!V50</f>
        <v>0.0357550334998836</v>
      </c>
      <c r="W53" s="110" t="n">
        <f aca="false">INDEX(Calib!$C$70:$G$70,Perf!G$6)*Perf!G52*Perf_Prod!W50</f>
        <v>0.0357550334998836</v>
      </c>
      <c r="X53" s="110" t="n">
        <f aca="false">INDEX(Calib!$C$70:$G$70,Perf!H$6)*Perf!H52*Perf_Prod!X50</f>
        <v>0.0357550334998836</v>
      </c>
      <c r="Y53" s="110" t="n">
        <f aca="false">INDEX(Calib!$C$70:$G$70,Perf!I$6)*Perf!I52*Perf_Prod!Y50</f>
        <v>0.0357550334998836</v>
      </c>
      <c r="Z53" s="110" t="n">
        <f aca="false">INDEX(Calib!$C$70:$G$70,Perf!J$6)*Perf!J52*Perf_Prod!Z50</f>
        <v>0.0357550334998836</v>
      </c>
      <c r="AA53" s="110" t="n">
        <f aca="false">INDEX(Calib!$C$70:$G$70,Perf!K$6)*Perf!K52*Perf_Prod!AA50</f>
        <v>0.0357550334998836</v>
      </c>
      <c r="AB53" s="110" t="n">
        <f aca="false">INDEX(Calib!$C$70:$G$70,Perf!L$6)*Perf!L52*Perf_Prod!AB50</f>
        <v>0.0357550334998836</v>
      </c>
      <c r="AC53" s="110" t="n">
        <f aca="false">INDEX(Calib!$C$70:$G$70,Perf!M$6)*Perf!M52*Perf_Prod!AC50</f>
        <v>0.0357550334998836</v>
      </c>
      <c r="AD53" s="110" t="n">
        <f aca="false">INDEX(Calib!$C$70:$G$70,Perf!N$6)*Perf!N52*Perf_Prod!AD50</f>
        <v>0.0357550334998836</v>
      </c>
      <c r="AE53" s="110" t="n">
        <f aca="false">INDEX(Calib!$C$70:$G$70,Perf!O$6)*Perf!O52*Perf_Prod!AE50</f>
        <v>0.0357550334998836</v>
      </c>
      <c r="AF53" s="110" t="n">
        <f aca="false">INDEX(Calib!$C$70:$G$70,Perf!P$6)*Perf!P52*Perf_Prod!AF50</f>
        <v>0.0357550334998836</v>
      </c>
      <c r="AG53" s="110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0" t="s">
        <v>758</v>
      </c>
      <c r="B55" s="58" t="s">
        <v>514</v>
      </c>
      <c r="C55" s="62" t="n">
        <f aca="false">INDEX(Calib!$C$71:$G$71,Perf!C$6)*Perf!C54/Perf_Prod!C50</f>
        <v>284.444714353584</v>
      </c>
      <c r="D55" s="62" t="n">
        <f aca="false">INDEX(Calib!$C$71:$G$71,Perf!D$6)*Perf!D54/Perf_Prod!D50</f>
        <v>284.444714353584</v>
      </c>
      <c r="E55" s="62" t="n">
        <f aca="false">INDEX(Calib!$C$71:$G$71,Perf!E$6)*Perf!E54/Perf_Prod!E50</f>
        <v>284.444714353584</v>
      </c>
      <c r="F55" s="62" t="n">
        <f aca="false">INDEX(Calib!$C$71:$G$71,Perf!F$6)*Perf!F54/Perf_Prod!F50</f>
        <v>189.629809569056</v>
      </c>
      <c r="G55" s="62" t="n">
        <f aca="false">INDEX(Calib!$C$71:$G$71,Perf!G$6)*Perf!G54/Perf_Prod!G50</f>
        <v>189.629809569056</v>
      </c>
      <c r="H55" s="62" t="n">
        <f aca="false">INDEX(Calib!$C$71:$G$71,Perf!H$6)*Perf!H54/Perf_Prod!H50</f>
        <v>189.629809569056</v>
      </c>
      <c r="I55" s="62" t="n">
        <f aca="false">INDEX(Calib!$C$71:$G$71,Perf!I$6)*Perf!I54/Perf_Prod!I50</f>
        <v>189.629809569056</v>
      </c>
      <c r="J55" s="62" t="n">
        <f aca="false">INDEX(Calib!$C$71:$G$71,Perf!J$6)*Perf!J54/Perf_Prod!J50</f>
        <v>189.629809569056</v>
      </c>
      <c r="K55" s="62" t="n">
        <f aca="false">INDEX(Calib!$C$71:$G$71,Perf!K$6)*Perf!K54/Perf_Prod!K50</f>
        <v>189.629809569056</v>
      </c>
      <c r="L55" s="62" t="n">
        <f aca="false">INDEX(Calib!$C$71:$G$71,Perf!L$6)*Perf!L54/Perf_Prod!L50</f>
        <v>189.629809569056</v>
      </c>
      <c r="M55" s="62" t="n">
        <f aca="false">INDEX(Calib!$C$71:$G$71,Perf!M$6)*Perf!M54/Perf_Prod!M50</f>
        <v>189.629809569056</v>
      </c>
      <c r="N55" s="62" t="n">
        <f aca="false">INDEX(Calib!$C$71:$G$71,Perf!N$6)*Perf!N54/Perf_Prod!N50</f>
        <v>189.629809569056</v>
      </c>
      <c r="O55" s="62" t="n">
        <f aca="false">INDEX(Calib!$C$71:$G$71,Perf!O$6)*Perf!O54/Perf_Prod!O50</f>
        <v>189.629809569056</v>
      </c>
      <c r="P55" s="62" t="n">
        <f aca="false">INDEX(Calib!$C$71:$G$71,Perf!P$6)*Perf!P54/Perf_Prod!P50</f>
        <v>189.629809569056</v>
      </c>
      <c r="Q55" s="62" t="n">
        <f aca="false">INDEX(Calib!$C$71:$G$71,Perf!Q$6)*Perf!Q54/Perf_Prod!Q50</f>
        <v>189.629809569056</v>
      </c>
      <c r="S55" s="62" t="n">
        <f aca="false">INDEX(Calib!$C$71:$G$71,Perf!C$6)*Perf!C54/Perf_Prod!S50</f>
        <v>241.778007200547</v>
      </c>
      <c r="T55" s="62" t="n">
        <f aca="false">INDEX(Calib!$C$71:$G$71,Perf!D$6)*Perf!D54/Perf_Prod!T50</f>
        <v>241.778007200547</v>
      </c>
      <c r="U55" s="62" t="n">
        <f aca="false">INDEX(Calib!$C$71:$G$71,Perf!E$6)*Perf!E54/Perf_Prod!U50</f>
        <v>241.778007200547</v>
      </c>
      <c r="V55" s="62" t="n">
        <f aca="false">INDEX(Calib!$C$71:$G$71,Perf!F$6)*Perf!F54/Perf_Prod!V50</f>
        <v>161.185338133698</v>
      </c>
      <c r="W55" s="62" t="n">
        <f aca="false">INDEX(Calib!$C$71:$G$71,Perf!G$6)*Perf!G54/Perf_Prod!W50</f>
        <v>161.185338133698</v>
      </c>
      <c r="X55" s="62" t="n">
        <f aca="false">INDEX(Calib!$C$71:$G$71,Perf!H$6)*Perf!H54/Perf_Prod!X50</f>
        <v>161.185338133698</v>
      </c>
      <c r="Y55" s="62" t="n">
        <f aca="false">INDEX(Calib!$C$71:$G$71,Perf!I$6)*Perf!I54/Perf_Prod!Y50</f>
        <v>161.185338133698</v>
      </c>
      <c r="Z55" s="62" t="n">
        <f aca="false">INDEX(Calib!$C$71:$G$71,Perf!J$6)*Perf!J54/Perf_Prod!Z50</f>
        <v>161.185338133698</v>
      </c>
      <c r="AA55" s="62" t="n">
        <f aca="false">INDEX(Calib!$C$71:$G$71,Perf!K$6)*Perf!K54/Perf_Prod!AA50</f>
        <v>161.185338133698</v>
      </c>
      <c r="AB55" s="62" t="n">
        <f aca="false">INDEX(Calib!$C$71:$G$71,Perf!L$6)*Perf!L54/Perf_Prod!AB50</f>
        <v>161.185338133698</v>
      </c>
      <c r="AC55" s="62" t="n">
        <f aca="false">INDEX(Calib!$C$71:$G$71,Perf!M$6)*Perf!M54/Perf_Prod!AC50</f>
        <v>161.185338133698</v>
      </c>
      <c r="AD55" s="62" t="n">
        <f aca="false">INDEX(Calib!$C$71:$G$71,Perf!N$6)*Perf!N54/Perf_Prod!AD50</f>
        <v>161.185338133698</v>
      </c>
      <c r="AE55" s="62" t="n">
        <f aca="false">INDEX(Calib!$C$71:$G$71,Perf!O$6)*Perf!O54/Perf_Prod!AE50</f>
        <v>161.185338133698</v>
      </c>
      <c r="AF55" s="62" t="n">
        <f aca="false">INDEX(Calib!$C$71:$G$71,Perf!P$6)*Perf!P54/Perf_Prod!AF50</f>
        <v>161.185338133698</v>
      </c>
      <c r="AG55" s="62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1" t="s">
        <v>774</v>
      </c>
      <c r="B75" s="58" t="s">
        <v>372</v>
      </c>
      <c r="C75" s="62" t="n">
        <f aca="false">Perf_Prod!C51*Perf!C14*1000000000000000/(Perf!C67*1000000000)</f>
        <v>6591.64167263463</v>
      </c>
      <c r="D75" s="62" t="n">
        <f aca="false">Perf_Prod!D51*Perf!D14*1000000000000000/(Perf!D67*1000000000)</f>
        <v>1899.17525472889</v>
      </c>
      <c r="E75" s="62" t="n">
        <f aca="false">Perf_Prod!E51*Perf!E14*1000000000000000/(Perf!E67*1000000000)</f>
        <v>572.480047771334</v>
      </c>
      <c r="F75" s="62" t="n">
        <f aca="false">Perf_Prod!F51*Perf!F14*1000000000000000/(Perf!F67*1000000000)</f>
        <v>66649.5619073269</v>
      </c>
      <c r="G75" s="62" t="n">
        <f aca="false">Perf_Prod!G51*Perf!G14*1000000000000000/(Perf!G67*1000000000)</f>
        <v>19202.9853865408</v>
      </c>
      <c r="H75" s="62" t="n">
        <f aca="false">Perf_Prod!H51*Perf!H14*1000000000000000/(Perf!H67*1000000000)</f>
        <v>5788.47368828446</v>
      </c>
      <c r="I75" s="62" t="n">
        <f aca="false">Perf_Prod!I51*Perf!I14*1000000000000000/(Perf!I67*1000000000)</f>
        <v>99974.3428609903</v>
      </c>
      <c r="J75" s="62" t="n">
        <f aca="false">Perf_Prod!J51*Perf!J14*1000000000000000/(Perf!J67*1000000000)</f>
        <v>28804.4780798112</v>
      </c>
      <c r="K75" s="62" t="n">
        <f aca="false">Perf_Prod!K51*Perf!K14*1000000000000000/(Perf!K67*1000000000)</f>
        <v>8682.7105324267</v>
      </c>
      <c r="L75" s="62" t="n">
        <f aca="false">Perf_Prod!L51*Perf!L14*1000000000000000/(Perf!L67*1000000000)</f>
        <v>233273.466675644</v>
      </c>
      <c r="M75" s="62" t="n">
        <f aca="false">Perf_Prod!M51*Perf!M14*1000000000000000/(Perf!M67*1000000000)</f>
        <v>67210.4488528929</v>
      </c>
      <c r="N75" s="62" t="n">
        <f aca="false">Perf_Prod!N51*Perf!N14*1000000000000000/(Perf!N67*1000000000)</f>
        <v>20259.6579089956</v>
      </c>
      <c r="O75" s="62" t="n">
        <f aca="false">Perf_Prod!O51*Perf!O14*1000000000000000/(Perf!O67*1000000000)</f>
        <v>466546.933351288</v>
      </c>
      <c r="P75" s="62" t="n">
        <f aca="false">Perf_Prod!P51*Perf!P14*1000000000000000/(Perf!P67*1000000000)</f>
        <v>134420.897705786</v>
      </c>
      <c r="Q75" s="62" t="n">
        <f aca="false">Perf_Prod!Q51*Perf!Q14*1000000000000000/(Perf!Q67*1000000000)</f>
        <v>40519.3158179913</v>
      </c>
      <c r="S75" s="62" t="n">
        <f aca="false">Perf_Prod!S51*Perf!C14*1000000000000000/(Perf!C67*1000000000)</f>
        <v>7754.87255604074</v>
      </c>
      <c r="T75" s="62" t="n">
        <f aca="false">Perf_Prod!T51*Perf!D14*1000000000000000/(Perf!D67*1000000000)</f>
        <v>2234.32382909281</v>
      </c>
      <c r="U75" s="62" t="n">
        <f aca="false">Perf_Prod!U51*Perf!E14*1000000000000000/(Perf!E67*1000000000)</f>
        <v>673.50593855451</v>
      </c>
      <c r="V75" s="62" t="n">
        <f aca="false">Perf_Prod!V51*Perf!F14*1000000000000000/(Perf!F67*1000000000)</f>
        <v>78411.2493027375</v>
      </c>
      <c r="W75" s="62" t="n">
        <f aca="false">Perf_Prod!W51*Perf!G14*1000000000000000/(Perf!G67*1000000000)</f>
        <v>22591.7475135774</v>
      </c>
      <c r="X75" s="62" t="n">
        <f aca="false">Perf_Prod!X51*Perf!H14*1000000000000000/(Perf!H67*1000000000)</f>
        <v>6809.96904504055</v>
      </c>
      <c r="Y75" s="62" t="n">
        <f aca="false">Perf_Prod!Y51*Perf!I14*1000000000000000/(Perf!I67*1000000000)</f>
        <v>117616.873954106</v>
      </c>
      <c r="Z75" s="62" t="n">
        <f aca="false">Perf_Prod!Z51*Perf!J14*1000000000000000/(Perf!J67*1000000000)</f>
        <v>33887.6212703662</v>
      </c>
      <c r="AA75" s="62" t="n">
        <f aca="false">Perf_Prod!AA51*Perf!K14*1000000000000000/(Perf!K67*1000000000)</f>
        <v>10214.9535675608</v>
      </c>
      <c r="AB75" s="62" t="n">
        <f aca="false">Perf_Prod!AB51*Perf!L14*1000000000000000/(Perf!L67*1000000000)</f>
        <v>274439.372559581</v>
      </c>
      <c r="AC75" s="62" t="n">
        <f aca="false">Perf_Prod!AC51*Perf!M14*1000000000000000/(Perf!M67*1000000000)</f>
        <v>79071.116297521</v>
      </c>
      <c r="AD75" s="62" t="n">
        <f aca="false">Perf_Prod!AD51*Perf!N14*1000000000000000/(Perf!N67*1000000000)</f>
        <v>23834.8916576419</v>
      </c>
      <c r="AE75" s="62" t="n">
        <f aca="false">Perf_Prod!AE51*Perf!O14*1000000000000000/(Perf!O67*1000000000)</f>
        <v>548878.745119163</v>
      </c>
      <c r="AF75" s="62" t="n">
        <f aca="false">Perf_Prod!AF51*Perf!P14*1000000000000000/(Perf!P67*1000000000)</f>
        <v>158142.232595042</v>
      </c>
      <c r="AG75" s="62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1" t="s">
        <v>775</v>
      </c>
      <c r="B76" s="58" t="s">
        <v>375</v>
      </c>
      <c r="C76" s="97" t="n">
        <f aca="false">Perf!C43*Perf!C67*1000000000/(Perf_Prod!C51*Perf!C14*1000000000000000*Perf!C21)</f>
        <v>0.155348250231981</v>
      </c>
      <c r="D76" s="97" t="n">
        <f aca="false">Perf!D43*Perf!D67*1000000000/(Perf_Prod!D51*Perf!D14*1000000000000000*Perf!D21)</f>
        <v>1.07836282875977</v>
      </c>
      <c r="E76" s="97" t="n">
        <f aca="false">Perf!E43*Perf!E67*1000000000/(Perf_Prod!E51*Perf!E14*1000000000000000*Perf!E21)</f>
        <v>7.15483450636531</v>
      </c>
      <c r="F76" s="97" t="n">
        <f aca="false">Perf!F43*Perf!F67*1000000000/(Perf_Prod!F51*Perf!F14*1000000000000000*Perf!F21)</f>
        <v>0.0307278838958859</v>
      </c>
      <c r="G76" s="97" t="n">
        <f aca="false">Perf!G43*Perf!G67*1000000000/(Perf_Prod!G51*Perf!G14*1000000000000000*Perf!G21)</f>
        <v>0.213300167528683</v>
      </c>
      <c r="H76" s="97" t="n">
        <f aca="false">Perf!H43*Perf!H67*1000000000/(Perf_Prod!H51*Perf!H14*1000000000000000*Perf!H21)</f>
        <v>1.41522626535906</v>
      </c>
      <c r="I76" s="97" t="n">
        <f aca="false">Perf!I43*Perf!I67*1000000000/(Perf_Prod!I51*Perf!I14*1000000000000000*Perf!I21)</f>
        <v>0.0204852559305906</v>
      </c>
      <c r="J76" s="97" t="n">
        <f aca="false">Perf!J43*Perf!J67*1000000000/(Perf_Prod!J51*Perf!J14*1000000000000000*Perf!J21)</f>
        <v>0.142200111685788</v>
      </c>
      <c r="K76" s="97" t="n">
        <f aca="false">Perf!K43*Perf!K67*1000000000/(Perf_Prod!K51*Perf!K14*1000000000000000*Perf!K21)</f>
        <v>0.943484176906039</v>
      </c>
      <c r="L76" s="97" t="n">
        <f aca="false">Perf!L43*Perf!L67*1000000000/(Perf_Prod!L51*Perf!L14*1000000000000000*Perf!L21)</f>
        <v>0.00877939539882454</v>
      </c>
      <c r="M76" s="97" t="n">
        <f aca="false">Perf!M43*Perf!M67*1000000000/(Perf_Prod!M51*Perf!M14*1000000000000000*Perf!M21)</f>
        <v>0.060942905008195</v>
      </c>
      <c r="N76" s="97" t="n">
        <f aca="false">Perf!N43*Perf!N67*1000000000/(Perf_Prod!N51*Perf!N14*1000000000000000*Perf!N21)</f>
        <v>0.40435036153116</v>
      </c>
      <c r="O76" s="97" t="n">
        <f aca="false">Perf!O43*Perf!O67*1000000000/(Perf_Prod!O51*Perf!O14*1000000000000000*Perf!O21)</f>
        <v>0.00219484884970614</v>
      </c>
      <c r="P76" s="97" t="n">
        <f aca="false">Perf!P43*Perf!P67*1000000000/(Perf_Prod!P51*Perf!P14*1000000000000000*Perf!P21)</f>
        <v>0.0152357262520488</v>
      </c>
      <c r="Q76" s="97" t="n">
        <f aca="false">Perf!Q43*Perf!Q67*1000000000/(Perf_Prod!Q51*Perf!Q14*1000000000000000*Perf!Q21)</f>
        <v>0.10108759038279</v>
      </c>
      <c r="S76" s="97" t="n">
        <f aca="false">Perf!C43*Perf!C67*1000000000/(Perf_Prod!S51*Perf!C14*1000000000000000*Perf!C21)</f>
        <v>0.132046012697184</v>
      </c>
      <c r="T76" s="97" t="n">
        <f aca="false">Perf!D43*Perf!D67*1000000000/(Perf_Prod!T51*Perf!D14*1000000000000000*Perf!D21)</f>
        <v>0.916608404445805</v>
      </c>
      <c r="U76" s="97" t="n">
        <f aca="false">Perf!E43*Perf!E67*1000000000/(Perf_Prod!U51*Perf!E14*1000000000000000*Perf!E21)</f>
        <v>6.08160933041052</v>
      </c>
      <c r="V76" s="97" t="n">
        <f aca="false">Perf!F43*Perf!F67*1000000000/(Perf_Prod!V51*Perf!F14*1000000000000000*Perf!F21)</f>
        <v>0.026118701311503</v>
      </c>
      <c r="W76" s="97" t="n">
        <f aca="false">Perf!G43*Perf!G67*1000000000/(Perf_Prod!W51*Perf!G14*1000000000000000*Perf!G21)</f>
        <v>0.18130514239938</v>
      </c>
      <c r="X76" s="97" t="n">
        <f aca="false">Perf!H43*Perf!H67*1000000000/(Perf_Prod!X51*Perf!H14*1000000000000000*Perf!H21)</f>
        <v>1.2029423255552</v>
      </c>
      <c r="Y76" s="97" t="n">
        <f aca="false">Perf!I43*Perf!I67*1000000000/(Perf_Prod!Y51*Perf!I14*1000000000000000*Perf!I21)</f>
        <v>0.017412467541002</v>
      </c>
      <c r="Z76" s="97" t="n">
        <f aca="false">Perf!J43*Perf!J67*1000000000/(Perf_Prod!Z51*Perf!J14*1000000000000000*Perf!J21)</f>
        <v>0.12087009493292</v>
      </c>
      <c r="AA76" s="97" t="n">
        <f aca="false">Perf!K43*Perf!K67*1000000000/(Perf_Prod!AA51*Perf!K14*1000000000000000*Perf!K21)</f>
        <v>0.801961550370133</v>
      </c>
      <c r="AB76" s="97" t="n">
        <f aca="false">Perf!L43*Perf!L67*1000000000/(Perf_Prod!AB51*Perf!L14*1000000000000000*Perf!L21)</f>
        <v>0.00746248608900086</v>
      </c>
      <c r="AC76" s="97" t="n">
        <f aca="false">Perf!M43*Perf!M67*1000000000/(Perf_Prod!AC51*Perf!M14*1000000000000000*Perf!M21)</f>
        <v>0.0518014692569658</v>
      </c>
      <c r="AD76" s="97" t="n">
        <f aca="false">Perf!N43*Perf!N67*1000000000/(Perf_Prod!AD51*Perf!N14*1000000000000000*Perf!N21)</f>
        <v>0.343697807301486</v>
      </c>
      <c r="AE76" s="97" t="n">
        <f aca="false">Perf!O43*Perf!O67*1000000000/(Perf_Prod!AE51*Perf!O14*1000000000000000*Perf!O21)</f>
        <v>0.00186562152225022</v>
      </c>
      <c r="AF76" s="97" t="n">
        <f aca="false">Perf!P43*Perf!P67*1000000000/(Perf_Prod!AF51*Perf!P14*1000000000000000*Perf!P21)</f>
        <v>0.0129503673142414</v>
      </c>
      <c r="AG76" s="97" t="n">
        <f aca="false">Perf!Q43*Perf!Q67*1000000000/(Perf_Prod!AG51*Perf!Q14*1000000000000000*Perf!Q21)</f>
        <v>0.0859244518253714</v>
      </c>
    </row>
    <row r="77" customFormat="false" ht="15" hidden="false" customHeight="false" outlineLevel="0" collapsed="false">
      <c r="A77" s="61" t="s">
        <v>776</v>
      </c>
      <c r="B77" s="73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否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否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0" t="s">
        <v>778</v>
      </c>
      <c r="B79" s="58" t="s">
        <v>504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0" t="s">
        <v>779</v>
      </c>
      <c r="B80" s="58" t="s">
        <v>504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0.509719410178506</v>
      </c>
      <c r="G80" s="96" t="n">
        <f aca="false">(Perf!G47+1)*Perf!G65/(Perf!G14*Perf_Prod!G53)/1000</f>
        <v>1.75543173781723</v>
      </c>
      <c r="H80" s="96" t="n">
        <f aca="false">(Perf!H47+1)*Perf!H65/(Perf!H14*Perf_Prod!H53)/1000</f>
        <v>6.99041161593922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0.43326149865173</v>
      </c>
      <c r="W80" s="96" t="n">
        <f aca="false">(Perf!G47+1)*Perf!G65/(Perf!G14*Perf_Prod!W53)/1000</f>
        <v>1.49211697714465</v>
      </c>
      <c r="X80" s="96" t="n">
        <f aca="false">(Perf!H47+1)*Perf!H65/(Perf!H14*Perf_Prod!X53)/1000</f>
        <v>5.94184987354833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0" t="s">
        <v>782</v>
      </c>
      <c r="B83" s="58" t="s">
        <v>504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0.509719410178506</v>
      </c>
      <c r="G83" s="96" t="n">
        <f aca="false">MAX(Perf_Prod!G80,Perf!G81,Perf!G82)</f>
        <v>1.75543173781723</v>
      </c>
      <c r="H83" s="96" t="n">
        <f aca="false">MAX(Perf_Prod!H80,Perf!H81,Perf!H82)</f>
        <v>6.99041161593922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0.43326149865173</v>
      </c>
      <c r="W83" s="96" t="n">
        <f aca="false">MAX(Perf_Prod!W80,Perf!G81,Perf!G82)</f>
        <v>1.49211697714465</v>
      </c>
      <c r="X83" s="96" t="n">
        <f aca="false">MAX(Perf_Prod!X80,Perf!H81,Perf!H82)</f>
        <v>5.94184987354833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1" t="s">
        <v>784</v>
      </c>
      <c r="B85" s="73" t="s">
        <v>2361</v>
      </c>
      <c r="C85" s="98" t="n">
        <f aca="false">(1000*Perf!C49/Perf!C41-Perf_Prod!C79)/Perf_Prod!C83</f>
        <v>2.38028631749471</v>
      </c>
      <c r="D85" s="98" t="n">
        <f aca="false">(1000*Perf!D49/Perf!D41-Perf_Prod!D79)/Perf_Prod!D83</f>
        <v>1.4029015580631</v>
      </c>
      <c r="E85" s="98" t="n">
        <f aca="false">(1000*Perf!E49/Perf!E41-Perf_Prod!E79)/Perf_Prod!E83</f>
        <v>0.154518204338627</v>
      </c>
      <c r="F85" s="98" t="n">
        <f aca="false">(1000*Perf!F49/Perf!F41-Perf_Prod!F79)/Perf_Prod!F83</f>
        <v>21.7702721058496</v>
      </c>
      <c r="G85" s="98" t="n">
        <f aca="false">(1000*Perf!G49/Perf!G41-Perf_Prod!G79)/Perf_Prod!G83</f>
        <v>11.8643926448252</v>
      </c>
      <c r="H85" s="98" t="n">
        <f aca="false">(1000*Perf!H49/Perf!H41-Perf_Prod!H79)/Perf_Prod!H83</f>
        <v>2.18657549988304</v>
      </c>
      <c r="I85" s="98" t="n">
        <f aca="false">(1000*Perf!I49/Perf!I41-Perf_Prod!I79)/Perf_Prod!I83</f>
        <v>32.6554081587744</v>
      </c>
      <c r="J85" s="98" t="n">
        <f aca="false">(1000*Perf!J49/Perf!J41-Perf_Prod!J79)/Perf_Prod!J83</f>
        <v>17.7965889672378</v>
      </c>
      <c r="K85" s="98" t="n">
        <f aca="false">(1000*Perf!K49/Perf!K41-Perf_Prod!K79)/Perf_Prod!K83</f>
        <v>2.5121622572642</v>
      </c>
      <c r="L85" s="98" t="n">
        <f aca="false">(1000*Perf!L49/Perf!L41-Perf_Prod!L79)/Perf_Prod!L83</f>
        <v>81.8267651007047</v>
      </c>
      <c r="M85" s="98" t="n">
        <f aca="false">(1000*Perf!M49/Perf!M41-Perf_Prod!M79)/Perf_Prod!M83</f>
        <v>49.1454573709184</v>
      </c>
      <c r="N85" s="98" t="n">
        <f aca="false">(1000*Perf!N49/Perf!N41-Perf_Prod!N79)/Perf_Prod!N83</f>
        <v>10.5821399713448</v>
      </c>
      <c r="O85" s="98" t="n">
        <f aca="false">(1000*Perf!O49/Perf!O41-Perf_Prod!O79)/Perf_Prod!O83</f>
        <v>166.715339064471</v>
      </c>
      <c r="P85" s="98" t="n">
        <f aca="false">(1000*Perf!P49/Perf!P41-Perf_Prod!P79)/Perf_Prod!P83</f>
        <v>102.74253749343</v>
      </c>
      <c r="Q85" s="98" t="n">
        <f aca="false">(1000*Perf!Q49/Perf!Q41-Perf_Prod!Q79)/Perf_Prod!Q83</f>
        <v>23.9367901748625</v>
      </c>
      <c r="S85" s="98" t="n">
        <f aca="false">(1000*Perf!C49/Perf!C41-Perf_Prod!S79)/Perf_Prod!S83</f>
        <v>3.87611792257512</v>
      </c>
      <c r="T85" s="98" t="n">
        <f aca="false">(1000*Perf!D49/Perf!D41-Perf_Prod!T79)/Perf_Prod!T83</f>
        <v>2.08507597129004</v>
      </c>
      <c r="U85" s="98" t="n">
        <f aca="false">(1000*Perf!E49/Perf!E41-Perf_Prod!U79)/Perf_Prod!U83</f>
        <v>0.357429474994288</v>
      </c>
      <c r="V85" s="98" t="n">
        <f aca="false">(1000*Perf!F49/Perf!F41-Perf_Prod!V79)/Perf_Prod!V83</f>
        <v>28.6320755060154</v>
      </c>
      <c r="W85" s="98" t="n">
        <f aca="false">(1000*Perf!G49/Perf!G41-Perf_Prod!W79)/Perf_Prod!W83</f>
        <v>15.1781515239196</v>
      </c>
      <c r="X85" s="98" t="n">
        <f aca="false">(1000*Perf!H49/Perf!H41-Perf_Prod!X79)/Perf_Prod!X83</f>
        <v>3.0655172579234</v>
      </c>
      <c r="Y85" s="98" t="n">
        <f aca="false">(1000*Perf!I49/Perf!I41-Perf_Prod!Y79)/Perf_Prod!Y83</f>
        <v>42.9481132590231</v>
      </c>
      <c r="Z85" s="98" t="n">
        <f aca="false">(1000*Perf!J49/Perf!J41-Perf_Prod!Z79)/Perf_Prod!Z83</f>
        <v>22.7672272858794</v>
      </c>
      <c r="AA85" s="98" t="n">
        <f aca="false">(1000*Perf!K49/Perf!K41-Perf_Prod!AA79)/Perf_Prod!AA83</f>
        <v>3.6950982485788</v>
      </c>
      <c r="AB85" s="98" t="n">
        <f aca="false">(1000*Perf!L49/Perf!L41-Perf_Prod!AB79)/Perf_Prod!AB83</f>
        <v>106.836749836032</v>
      </c>
      <c r="AC85" s="98" t="n">
        <f aca="false">(1000*Perf!M49/Perf!M41-Perf_Prod!AC79)/Perf_Prod!AC83</f>
        <v>62.0883339972837</v>
      </c>
      <c r="AD85" s="98" t="n">
        <f aca="false">(1000*Perf!N49/Perf!N41-Perf_Prod!AD79)/Perf_Prod!AD83</f>
        <v>14.1753406636192</v>
      </c>
      <c r="AE85" s="98" t="n">
        <f aca="false">(1000*Perf!O49/Perf!O41-Perf_Prod!AE79)/Perf_Prod!AE83</f>
        <v>217.275627746254</v>
      </c>
      <c r="AF85" s="98" t="n">
        <f aca="false">(1000*Perf!P49/Perf!P41-Perf_Prod!AF79)/Perf_Prod!AF83</f>
        <v>129.413871231736</v>
      </c>
      <c r="AG85" s="98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60" t="s">
        <v>786</v>
      </c>
      <c r="B87" s="73" t="s">
        <v>2361</v>
      </c>
      <c r="C87" s="162" t="n">
        <f aca="false">MAX(0,MIN(Perf_Prod!C85,Perf!C86))</f>
        <v>2.38028631749471</v>
      </c>
      <c r="D87" s="162" t="n">
        <f aca="false">MAX(0,MIN(Perf_Prod!D85,Perf!D86))</f>
        <v>1.4029015580631</v>
      </c>
      <c r="E87" s="162" t="n">
        <f aca="false">MAX(0,MIN(Perf_Prod!E85,Perf!E86))</f>
        <v>0.154518204338627</v>
      </c>
      <c r="F87" s="162" t="n">
        <f aca="false">MAX(0,MIN(Perf_Prod!F85,Perf!F86))</f>
        <v>21.7702721058496</v>
      </c>
      <c r="G87" s="162" t="n">
        <f aca="false">MAX(0,MIN(Perf_Prod!G85,Perf!G86))</f>
        <v>11.8643926448252</v>
      </c>
      <c r="H87" s="162" t="n">
        <f aca="false">MAX(0,MIN(Perf_Prod!H85,Perf!H86))</f>
        <v>2.18657549988304</v>
      </c>
      <c r="I87" s="162" t="n">
        <f aca="false">MAX(0,MIN(Perf_Prod!I85,Perf!I86))</f>
        <v>32.6554081587744</v>
      </c>
      <c r="J87" s="162" t="n">
        <f aca="false">MAX(0,MIN(Perf_Prod!J85,Perf!J86))</f>
        <v>17.7965889672378</v>
      </c>
      <c r="K87" s="162" t="n">
        <f aca="false">MAX(0,MIN(Perf_Prod!K85,Perf!K86))</f>
        <v>2.5121622572642</v>
      </c>
      <c r="L87" s="162" t="n">
        <f aca="false">MAX(0,MIN(Perf_Prod!L85,Perf!L86))</f>
        <v>81.8267651007047</v>
      </c>
      <c r="M87" s="162" t="n">
        <f aca="false">MAX(0,MIN(Perf_Prod!M85,Perf!M86))</f>
        <v>49.1454573709184</v>
      </c>
      <c r="N87" s="162" t="n">
        <f aca="false">MAX(0,MIN(Perf_Prod!N85,Perf!N86))</f>
        <v>10.5821399713448</v>
      </c>
      <c r="O87" s="162" t="n">
        <f aca="false">MAX(0,MIN(Perf_Prod!O85,Perf!O86))</f>
        <v>166.715339064471</v>
      </c>
      <c r="P87" s="162" t="n">
        <f aca="false">MAX(0,MIN(Perf_Prod!P85,Perf!P86))</f>
        <v>102.74253749343</v>
      </c>
      <c r="Q87" s="162" t="n">
        <f aca="false">MAX(0,MIN(Perf_Prod!Q85,Perf!Q86))</f>
        <v>23.9367901748625</v>
      </c>
      <c r="S87" s="162" t="n">
        <f aca="false">MAX(0,MIN(Perf_Prod!S85,Perf!C86))</f>
        <v>3.87611792257512</v>
      </c>
      <c r="T87" s="162" t="n">
        <f aca="false">MAX(0,MIN(Perf_Prod!T85,Perf!D86))</f>
        <v>2.08507597129004</v>
      </c>
      <c r="U87" s="162" t="n">
        <f aca="false">MAX(0,MIN(Perf_Prod!U85,Perf!E86))</f>
        <v>0.357429474994288</v>
      </c>
      <c r="V87" s="162" t="n">
        <f aca="false">MAX(0,MIN(Perf_Prod!V85,Perf!F86))</f>
        <v>28.6320755060154</v>
      </c>
      <c r="W87" s="162" t="n">
        <f aca="false">MAX(0,MIN(Perf_Prod!W85,Perf!G86))</f>
        <v>15.1781515239196</v>
      </c>
      <c r="X87" s="162" t="n">
        <f aca="false">MAX(0,MIN(Perf_Prod!X85,Perf!H86))</f>
        <v>3.0655172579234</v>
      </c>
      <c r="Y87" s="162" t="n">
        <f aca="false">MAX(0,MIN(Perf_Prod!Y85,Perf!I86))</f>
        <v>42.9481132590231</v>
      </c>
      <c r="Z87" s="162" t="n">
        <f aca="false">MAX(0,MIN(Perf_Prod!Z85,Perf!J86))</f>
        <v>22.7672272858794</v>
      </c>
      <c r="AA87" s="162" t="n">
        <f aca="false">MAX(0,MIN(Perf_Prod!AA85,Perf!K86))</f>
        <v>3.6950982485788</v>
      </c>
      <c r="AB87" s="162" t="n">
        <f aca="false">MAX(0,MIN(Perf_Prod!AB85,Perf!L86))</f>
        <v>106.836749836032</v>
      </c>
      <c r="AC87" s="162" t="n">
        <f aca="false">MAX(0,MIN(Perf_Prod!AC85,Perf!M86))</f>
        <v>62.0883339972837</v>
      </c>
      <c r="AD87" s="162" t="n">
        <f aca="false">MAX(0,MIN(Perf_Prod!AD85,Perf!N86))</f>
        <v>14.1753406636192</v>
      </c>
      <c r="AE87" s="162" t="n">
        <f aca="false">MAX(0,MIN(Perf_Prod!AE85,Perf!O86))</f>
        <v>217.275627746254</v>
      </c>
      <c r="AF87" s="162" t="n">
        <f aca="false">MAX(0,MIN(Perf_Prod!AF85,Perf!P86))</f>
        <v>129.413871231736</v>
      </c>
      <c r="AG87" s="162" t="n">
        <f aca="false">MAX(0,MIN(Perf_Prod!AG85,Perf!Q86))</f>
        <v>31.6124580709712</v>
      </c>
    </row>
    <row r="88" customFormat="false" ht="15" hidden="false" customHeight="false" outlineLevel="0" collapsed="false">
      <c r="A88" s="61" t="s">
        <v>787</v>
      </c>
      <c r="B88" s="58" t="s">
        <v>372</v>
      </c>
      <c r="C88" s="167" t="n">
        <f aca="false">IF(Perf_Prod!C87&gt;0,Perf_Prod!C87*Perf!C49/((Perf_Prod!C79+Perf_Prod!C87*Perf_Prod!C83)/1000),0)</f>
        <v>285.634358099365</v>
      </c>
      <c r="D88" s="167" t="n">
        <f aca="false">IF(Perf_Prod!D87&gt;0,Perf_Prod!D87*Perf!D49/((Perf_Prod!D79+Perf_Prod!D87*Perf_Prod!D83)/1000),0)</f>
        <v>91.1886012741015</v>
      </c>
      <c r="E88" s="167" t="n">
        <f aca="false">IF(Perf_Prod!E87&gt;0,Perf_Prod!E87*Perf!E49/((Perf_Prod!E79+Perf_Prod!E87*Perf_Prod!E83)/1000),0)</f>
        <v>8.4985012386245</v>
      </c>
      <c r="F88" s="167" t="n">
        <f aca="false">IF(Perf_Prod!F87&gt;0,Perf_Prod!F87*Perf!F49/((Perf_Prod!F79+Perf_Prod!F87*Perf_Prod!F83)/1000),0)</f>
        <v>2612.43265270195</v>
      </c>
      <c r="G88" s="167" t="n">
        <f aca="false">IF(Perf_Prod!G87&gt;0,Perf_Prod!G87*Perf!G49/((Perf_Prod!G79+Perf_Prod!G87*Perf_Prod!G83)/1000),0)</f>
        <v>771.185521913636</v>
      </c>
      <c r="H88" s="167" t="n">
        <f aca="false">IF(Perf_Prod!H87&gt;0,Perf_Prod!H87*Perf!H49/((Perf_Prod!H79+Perf_Prod!H87*Perf_Prod!H83)/1000),0)</f>
        <v>120.261652493567</v>
      </c>
      <c r="I88" s="167" t="n">
        <f aca="false">IF(Perf_Prod!I87&gt;0,Perf_Prod!I87*Perf!I49/((Perf_Prod!I79+Perf_Prod!I87*Perf_Prod!I83)/1000),0)</f>
        <v>3918.64897905293</v>
      </c>
      <c r="J88" s="167" t="n">
        <f aca="false">IF(Perf_Prod!J87&gt;0,Perf_Prod!J87*Perf!J49/((Perf_Prod!J79+Perf_Prod!J87*Perf_Prod!J83)/1000),0)</f>
        <v>1156.77828287045</v>
      </c>
      <c r="K88" s="167" t="n">
        <f aca="false">IF(Perf_Prod!K87&gt;0,Perf_Prod!K87*Perf!K49/((Perf_Prod!K79+Perf_Prod!K87*Perf_Prod!K83)/1000),0)</f>
        <v>138.168924149531</v>
      </c>
      <c r="L88" s="167" t="n">
        <f aca="false">IF(Perf_Prod!L87&gt;0,Perf_Prod!L87*Perf!L49/((Perf_Prod!L79+Perf_Prod!L87*Perf_Prod!L83)/1000),0)</f>
        <v>9819.21181208456</v>
      </c>
      <c r="M88" s="167" t="n">
        <f aca="false">IF(Perf_Prod!M87&gt;0,Perf_Prod!M87*Perf!M49/((Perf_Prod!M79+Perf_Prod!M87*Perf_Prod!M83)/1000),0)</f>
        <v>3194.45472910969</v>
      </c>
      <c r="N88" s="167" t="n">
        <f aca="false">IF(Perf_Prod!N87&gt;0,Perf_Prod!N87*Perf!N49/((Perf_Prod!N79+Perf_Prod!N87*Perf_Prod!N83)/1000),0)</f>
        <v>582.017698423965</v>
      </c>
      <c r="O88" s="167" t="n">
        <f aca="false">IF(Perf_Prod!O87&gt;0,Perf_Prod!O87*Perf!O49/((Perf_Prod!O79+Perf_Prod!O87*Perf_Prod!O83)/1000),0)</f>
        <v>20005.8406877365</v>
      </c>
      <c r="P88" s="167" t="n">
        <f aca="false">IF(Perf_Prod!P87&gt;0,Perf_Prod!P87*Perf!P49/((Perf_Prod!P79+Perf_Prod!P87*Perf_Prod!P83)/1000),0)</f>
        <v>6678.26493707295</v>
      </c>
      <c r="Q88" s="167" t="n">
        <f aca="false">IF(Perf_Prod!Q87&gt;0,Perf_Prod!Q87*Perf!Q49/((Perf_Prod!Q79+Perf_Prod!Q87*Perf_Prod!Q83)/1000),0)</f>
        <v>1316.52345961744</v>
      </c>
      <c r="S88" s="167" t="n">
        <f aca="false">IF(Perf_Prod!S87&gt;0,Perf_Prod!S87*Perf!C49/((Perf_Prod!S79+Perf_Prod!S87*Perf_Prod!S83)/1000),0)</f>
        <v>465.134150709014</v>
      </c>
      <c r="T88" s="167" t="n">
        <f aca="false">IF(Perf_Prod!T87&gt;0,Perf_Prod!T87*Perf!D49/((Perf_Prod!T79+Perf_Prod!T87*Perf_Prod!T83)/1000),0)</f>
        <v>135.529938133852</v>
      </c>
      <c r="U88" s="167" t="n">
        <f aca="false">IF(Perf_Prod!U87&gt;0,Perf_Prod!U87*Perf!E49/((Perf_Prod!U79+Perf_Prod!U87*Perf_Prod!U83)/1000),0)</f>
        <v>19.6586211246858</v>
      </c>
      <c r="V88" s="167" t="n">
        <f aca="false">IF(Perf_Prod!V87&gt;0,Perf_Prod!V87*Perf!F49/((Perf_Prod!V79+Perf_Prod!V87*Perf_Prod!V83)/1000),0)</f>
        <v>3435.84906072185</v>
      </c>
      <c r="W88" s="167" t="n">
        <f aca="false">IF(Perf_Prod!W87&gt;0,Perf_Prod!W87*Perf!G49/((Perf_Prod!W79+Perf_Prod!W87*Perf_Prod!W83)/1000),0)</f>
        <v>986.579849054775</v>
      </c>
      <c r="X88" s="167" t="n">
        <f aca="false">IF(Perf_Prod!X87&gt;0,Perf_Prod!X87*Perf!H49/((Perf_Prod!X79+Perf_Prod!X87*Perf_Prod!X83)/1000),0)</f>
        <v>168.603449185787</v>
      </c>
      <c r="Y88" s="167" t="n">
        <f aca="false">IF(Perf_Prod!Y87&gt;0,Perf_Prod!Y87*Perf!I49/((Perf_Prod!Y79+Perf_Prod!Y87*Perf_Prod!Y83)/1000),0)</f>
        <v>5153.77359108278</v>
      </c>
      <c r="Z88" s="167" t="n">
        <f aca="false">IF(Perf_Prod!Z87&gt;0,Perf_Prod!Z87*Perf!J49/((Perf_Prod!Z79+Perf_Prod!Z87*Perf_Prod!Z83)/1000),0)</f>
        <v>1479.86977358216</v>
      </c>
      <c r="AA88" s="167" t="n">
        <f aca="false">IF(Perf_Prod!AA87&gt;0,Perf_Prod!AA87*Perf!K49/((Perf_Prod!AA79+Perf_Prod!AA87*Perf_Prod!AA83)/1000),0)</f>
        <v>203.230403671834</v>
      </c>
      <c r="AB88" s="167" t="n">
        <f aca="false">IF(Perf_Prod!AB87&gt;0,Perf_Prod!AB87*Perf!L49/((Perf_Prod!AB79+Perf_Prod!AB87*Perf_Prod!AB83)/1000),0)</f>
        <v>12820.4099803238</v>
      </c>
      <c r="AC88" s="167" t="n">
        <f aca="false">IF(Perf_Prod!AC87&gt;0,Perf_Prod!AC87*Perf!M49/((Perf_Prod!AC79+Perf_Prod!AC87*Perf_Prod!AC83)/1000),0)</f>
        <v>4035.74170982344</v>
      </c>
      <c r="AD88" s="167" t="n">
        <f aca="false">IF(Perf_Prod!AD87&gt;0,Perf_Prod!AD87*Perf!N49/((Perf_Prod!AD79+Perf_Prod!AD87*Perf_Prod!AD83)/1000),0)</f>
        <v>779.643736499055</v>
      </c>
      <c r="AE88" s="167" t="n">
        <f aca="false">IF(Perf_Prod!AE87&gt;0,Perf_Prod!AE87*Perf!O49/((Perf_Prod!AE79+Perf_Prod!AE87*Perf_Prod!AE83)/1000),0)</f>
        <v>26073.0753295504</v>
      </c>
      <c r="AF88" s="167" t="n">
        <f aca="false">IF(Perf_Prod!AF87&gt;0,Perf_Prod!AF87*Perf!P49/((Perf_Prod!AF79+Perf_Prod!AF87*Perf_Prod!AF83)/1000),0)</f>
        <v>8411.90163006283</v>
      </c>
      <c r="AG88" s="167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60" t="s">
        <v>792</v>
      </c>
      <c r="B93" s="58" t="s">
        <v>793</v>
      </c>
      <c r="C93" s="117" t="n">
        <f aca="false">IF(ISNUMBER(Perf_Prod!C88),IF(Perf_Prod!C88&gt;0,IF(Perf_Prod!C77="是",Perf!C43/Perf_Prod!C75+Perf!C44/Perf_Prod!C88,"TTFT 不可達"),"SLO 不可達"),"SLO 不可達")</f>
        <v>4.82778889441325</v>
      </c>
      <c r="D93" s="117" t="n">
        <f aca="false">IF(ISNUMBER(Perf_Prod!D88),IF(Perf_Prod!D88&gt;0,IF(Perf_Prod!D77="是",Perf!D43/Perf_Prod!D75+Perf!D44/Perf_Prod!D88,"TTFT 不可達"),"SLO 不可達"),"SLO 不可達")</f>
        <v>31.0858500356203</v>
      </c>
      <c r="E93" s="117" t="str">
        <f aca="false">IF(ISNUMBER(Perf_Prod!E88),IF(Perf_Prod!E88&gt;0,IF(Perf_Prod!E77="是",Perf!E43/Perf_Prod!E75+Perf!E44/Perf_Prod!E88,"TTFT 不可達"),"SLO 不可達"),"SLO 不可達")</f>
        <v>TTFT 不可達</v>
      </c>
      <c r="F93" s="117" t="n">
        <f aca="false">IF(ISNUMBER(Perf_Prod!F88),IF(Perf_Prod!F88&gt;0,IF(Perf_Prod!F77="是",Perf!F43/Perf_Prod!F75+Perf!F44/Perf_Prod!F88,"TTFT 不可達"),"SLO 不可達"),"SLO 不可達")</f>
        <v>0.514883362662382</v>
      </c>
      <c r="G93" s="117" t="n">
        <f aca="false">IF(ISNUMBER(Perf_Prod!G88),IF(Perf_Prod!G88&gt;0,IF(Perf_Prod!G77="是",Perf!G43/Perf_Prod!G75+Perf!G44/Perf_Prod!G88,"TTFT 不可達"),"SLO 不可達"),"SLO 不可達")</f>
        <v>3.50885218561265</v>
      </c>
      <c r="H93" s="117" t="n">
        <f aca="false">IF(ISNUMBER(Perf_Prod!H88),IF(Perf_Prod!H88&gt;0,IF(Perf_Prod!H77="是",Perf!H43/Perf_Prod!H75+Perf!H44/Perf_Prod!H88,"TTFT 不可達"),"SLO 不可達"),"SLO 不可達")</f>
        <v>39.7199747238883</v>
      </c>
      <c r="I93" s="117" t="n">
        <f aca="false">IF(ISNUMBER(Perf_Prod!I88),IF(Perf_Prod!I88&gt;0,IF(Perf_Prod!I77="是",Perf!I43/Perf_Prod!I75+Perf!I44/Perf_Prod!I88,"TTFT 不可達"),"SLO 不可達"),"SLO 不可達")</f>
        <v>0.343255575108254</v>
      </c>
      <c r="J93" s="117" t="n">
        <f aca="false">IF(ISNUMBER(Perf_Prod!J88),IF(Perf_Prod!J88&gt;0,IF(Perf_Prod!J77="是",Perf!J43/Perf_Prod!J75+Perf!J44/Perf_Prod!J88,"TTFT 不可達"),"SLO 不可達"),"SLO 不可達")</f>
        <v>2.33923479040843</v>
      </c>
      <c r="K93" s="117" t="n">
        <f aca="false">IF(ISNUMBER(Perf_Prod!K88),IF(Perf_Prod!K88&gt;0,IF(Perf_Prod!K77="是",Perf!K43/Perf_Prod!K75+Perf!K44/Perf_Prod!K88,"TTFT 不可達"),"SLO 不可達"),"SLO 不可達")</f>
        <v>33.4188081952763</v>
      </c>
      <c r="L93" s="117" t="n">
        <f aca="false">IF(ISNUMBER(Perf_Prod!L88),IF(Perf_Prod!L88&gt;0,IF(Perf_Prod!L77="是",Perf!L43/Perf_Prod!L75+Perf!L44/Perf_Prod!L88,"TTFT 不可達"),"SLO 不可達"),"SLO 不可達")</f>
        <v>0.139402937650023</v>
      </c>
      <c r="M93" s="117" t="n">
        <f aca="false">IF(ISNUMBER(Perf_Prod!M88),IF(Perf_Prod!M88&gt;0,IF(Perf_Prod!M77="是",Perf!M43/Perf_Prod!M75+Perf!M44/Perf_Prod!M88,"TTFT 不可達"),"SLO 不可達"),"SLO 不可達")</f>
        <v>0.884882599423865</v>
      </c>
      <c r="N93" s="117" t="n">
        <f aca="false">IF(ISNUMBER(Perf_Prod!N88),IF(Perf_Prod!N88&gt;0,IF(Perf_Prod!N77="是",Perf!N43/Perf_Prod!N75+Perf!N44/Perf_Prod!N88,"TTFT 不可達"),"SLO 不可達"),"SLO 不可達")</f>
        <v>8.6549881227695</v>
      </c>
      <c r="O93" s="117" t="n">
        <f aca="false">IF(ISNUMBER(Perf_Prod!O88),IF(Perf_Prod!O88&gt;0,IF(Perf_Prod!O77="是",Perf!O43/Perf_Prod!O75+Perf!O44/Perf_Prod!O88,"TTFT 不可達"),"SLO 不可達"),"SLO 不可達")</f>
        <v>0.0687438430023138</v>
      </c>
      <c r="P93" s="117" t="n">
        <f aca="false">IF(ISNUMBER(Perf_Prod!P88),IF(Perf_Prod!P88&gt;0,IF(Perf_Prod!P77="是",Perf!P43/Perf_Prod!P75+Perf!P44/Perf_Prod!P88,"TTFT 不可達"),"SLO 不可達"),"SLO 不可達")</f>
        <v>0.428552289902651</v>
      </c>
      <c r="Q93" s="117" t="n">
        <f aca="false">IF(ISNUMBER(Perf_Prod!Q88),IF(Perf_Prod!Q88&gt;0,IF(Perf_Prod!Q77="是",Perf!Q43/Perf_Prod!Q75+Perf!Q44/Perf_Prod!Q88,"TTFT 不可達"),"SLO 不可達"),"SLO 不可達")</f>
        <v>3.91992519086651</v>
      </c>
      <c r="S93" s="117" t="n">
        <f aca="false">IF(ISNUMBER(Perf_Prod!S88),IF(Perf_Prod!S88&gt;0,IF(Perf_Prod!S77="是",Perf!C43/Perf_Prod!S75+Perf!C44/Perf_Prod!S88,"TTFT 不可達"),"SLO 不可達"),"SLO 不可達")</f>
        <v>3.25788351049573</v>
      </c>
      <c r="T93" s="117" t="n">
        <f aca="false">IF(ISNUMBER(Perf_Prod!T88),IF(Perf_Prod!T88&gt;0,IF(Perf_Prod!T77="是",Perf!D43/Perf_Prod!T75+Perf!D44/Perf_Prod!T88,"TTFT 不可達"),"SLO 不可達"),"SLO 不可達")</f>
        <v>22.4439196583703</v>
      </c>
      <c r="U93" s="117" t="str">
        <f aca="false">IF(ISNUMBER(Perf_Prod!U88),IF(Perf_Prod!U88&gt;0,IF(Perf_Prod!U77="是",Perf!E43/Perf_Prod!U75+Perf!E44/Perf_Prod!U88,"TTFT 不可達"),"SLO 不可達"),"SLO 不可達")</f>
        <v>TTFT 不可達</v>
      </c>
      <c r="V93" s="117" t="n">
        <f aca="false">IF(ISNUMBER(Perf_Prod!V88),IF(Perf_Prod!V88&gt;0,IF(Perf_Prod!V77="是",Perf!F43/Perf_Prod!V75+Perf!F44/Perf_Prod!V88,"TTFT 不可達"),"SLO 不可達"),"SLO 不可達")</f>
        <v>0.402508852115598</v>
      </c>
      <c r="W93" s="117" t="n">
        <f aca="false">IF(ISNUMBER(Perf_Prod!W88),IF(Perf_Prod!W88&gt;0,IF(Perf_Prod!W77="是",Perf!G43/Perf_Prod!W75+Perf!G44/Perf_Prod!W88,"TTFT 不可達"),"SLO 不可達"),"SLO 不可達")</f>
        <v>2.80107890175599</v>
      </c>
      <c r="X93" s="117" t="n">
        <f aca="false">IF(ISNUMBER(Perf_Prod!X88),IF(Perf_Prod!X88&gt;0,IF(Perf_Prod!X77="是",Perf!H43/Perf_Prod!X75+Perf!H44/Perf_Prod!X88,"TTFT 不可達"),"SLO 不可達"),"SLO 不可達")</f>
        <v>29.1054597325189</v>
      </c>
      <c r="Y93" s="117" t="n">
        <f aca="false">IF(ISNUMBER(Perf_Prod!Y88),IF(Perf_Prod!Y88&gt;0,IF(Perf_Prod!Y77="是",Perf!I43/Perf_Prod!Y75+Perf!I44/Perf_Prod!Y88,"TTFT 不可達"),"SLO 不可達"),"SLO 不可達")</f>
        <v>0.268339234743732</v>
      </c>
      <c r="Z93" s="117" t="n">
        <f aca="false">IF(ISNUMBER(Perf_Prod!Z88),IF(Perf_Prod!Z88&gt;0,IF(Perf_Prod!Z77="是",Perf!J43/Perf_Prod!Z75+Perf!J44/Perf_Prod!Z88,"TTFT 不可達"),"SLO 不可達"),"SLO 不可達")</f>
        <v>1.86738593450399</v>
      </c>
      <c r="AA93" s="117" t="n">
        <f aca="false">IF(ISNUMBER(Perf_Prod!AA88),IF(Perf_Prod!AA88&gt;0,IF(Perf_Prod!AA77="是",Perf!K43/Perf_Prod!AA75+Perf!K44/Perf_Prod!AA88,"TTFT 不可達"),"SLO 不可達"),"SLO 不可達")</f>
        <v>23.3623109173702</v>
      </c>
      <c r="AB93" s="117" t="n">
        <f aca="false">IF(ISNUMBER(Perf_Prod!AB88),IF(Perf_Prod!AB88&gt;0,IF(Perf_Prod!AB77="是",Perf!L43/Perf_Prod!AB75+Perf!L44/Perf_Prod!AB88,"TTFT 不可達"),"SLO 不可達"),"SLO 不可達")</f>
        <v>0.109722585057166</v>
      </c>
      <c r="AC93" s="117" t="n">
        <f aca="false">IF(ISNUMBER(Perf_Prod!AC88),IF(Perf_Prod!AC88&gt;0,IF(Perf_Prod!AC77="是",Perf!M43/Perf_Prod!AC75+Perf!M44/Perf_Prod!AC88,"TTFT 不可達"),"SLO 不可達"),"SLO 不可達")</f>
        <v>0.714671455168045</v>
      </c>
      <c r="AD93" s="117" t="n">
        <f aca="false">IF(ISNUMBER(Perf_Prod!AD88),IF(Perf_Prod!AD88&gt;0,IF(Perf_Prod!AD77="是",Perf!N43/Perf_Prod!AD75+Perf!N44/Perf_Prod!AD88,"TTFT 不可達"),"SLO 不可達"),"SLO 不可達")</f>
        <v>6.62847288948946</v>
      </c>
      <c r="AE93" s="117" t="n">
        <f aca="false">IF(ISNUMBER(Perf_Prod!AE88),IF(Perf_Prod!AE88&gt;0,IF(Perf_Prod!AE77="是",Perf!O43/Perf_Prod!AE75+Perf!O44/Perf_Prod!AE88,"TTFT 不可達"),"SLO 不可達"),"SLO 不可達")</f>
        <v>0.0541992038157031</v>
      </c>
      <c r="AF93" s="117" t="n">
        <f aca="false">IF(ISNUMBER(Perf_Prod!AF88),IF(Perf_Prod!AF88&gt;0,IF(Perf_Prod!AF77="是",Perf!P43/Perf_Prod!AF75+Perf!P44/Perf_Prod!AF88,"TTFT 不可達"),"SLO 不可達"),"SLO 不可達")</f>
        <v>0.347067506939312</v>
      </c>
      <c r="AG93" s="117" t="n">
        <f aca="false">IF(ISNUMBER(Perf_Prod!AG88),IF(Perf_Prod!AG88&gt;0,IF(Perf_Prod!AG77="是",Perf!Q43/Perf_Prod!AG75+Perf!Q44/Perf_Prod!AG88,"TTFT 不可達"),"SLO 不可達"),"SLO 不可達")</f>
        <v>3.04319873201742</v>
      </c>
    </row>
    <row r="95" customFormat="false" ht="15" hidden="false" customHeight="false" outlineLevel="0" collapsed="false">
      <c r="A95" s="60" t="s">
        <v>795</v>
      </c>
      <c r="B95" s="58" t="s">
        <v>372</v>
      </c>
      <c r="C95" s="167" t="n">
        <f aca="false">IF(ISNUMBER(Perf_Prod!C93),IF(Perf_Prod!C93&gt;0,Perf!C22*(Perf!C43+Perf!C44)/Perf_Prod!C93,0),Perf_Prod!C93)</f>
        <v>61086.3495587544</v>
      </c>
      <c r="D95" s="167" t="n">
        <f aca="false">IF(ISNUMBER(Perf_Prod!D93),IF(Perf_Prod!D93&gt;0,Perf!D22*(Perf!D43+Perf!D44)/Perf_Prod!D93,0),Perf_Prod!D93)</f>
        <v>18974.0347883085</v>
      </c>
      <c r="E95" s="167" t="str">
        <f aca="false">IF(ISNUMBER(Perf_Prod!E93),IF(Perf_Prod!E93&gt;0,Perf!E22*(Perf!E43+Perf!E44)/Perf_Prod!E93,0),Perf_Prod!E93)</f>
        <v>TTFT 不可達</v>
      </c>
      <c r="F95" s="167" t="n">
        <f aca="false">IF(ISNUMBER(Perf_Prod!F93),IF(Perf_Prod!F93&gt;0,Perf!F22*(Perf!F43+Perf!F44)/Perf_Prod!F93,0),Perf_Prod!F93)</f>
        <v>1288742.360151</v>
      </c>
      <c r="G95" s="167" t="n">
        <f aca="false">IF(ISNUMBER(Perf_Prod!G93),IF(Perf_Prod!G93&gt;0,Perf!G22*(Perf!G43+Perf!G44)/Perf_Prod!G93,0),Perf_Prod!G93)</f>
        <v>378215.989103652</v>
      </c>
      <c r="H95" s="167" t="n">
        <f aca="false">IF(ISNUMBER(Perf_Prod!H93),IF(Perf_Prod!H93&gt;0,Perf!H22*(Perf!H43+Perf!H44)/Perf_Prod!H93,0),Perf_Prod!H93)</f>
        <v>66823.003248381</v>
      </c>
      <c r="I95" s="167" t="n">
        <f aca="false">IF(ISNUMBER(Perf_Prod!I93),IF(Perf_Prod!I93&gt;0,Perf!I22*(Perf!I43+Perf!I44)/Perf_Prod!I93,0),Perf_Prod!I93)</f>
        <v>1933113.5402265</v>
      </c>
      <c r="J95" s="167" t="n">
        <f aca="false">IF(ISNUMBER(Perf_Prod!J93),IF(Perf_Prod!J93&gt;0,Perf!J22*(Perf!J43+Perf!J44)/Perf_Prod!J93,0),Perf_Prod!J93)</f>
        <v>567323.983655479</v>
      </c>
      <c r="K95" s="167" t="n">
        <f aca="false">IF(ISNUMBER(Perf_Prod!K93),IF(Perf_Prod!K93&gt;0,Perf!K22*(Perf!K43+Perf!K44)/Perf_Prod!K93,0),Perf_Prod!K93)</f>
        <v>79422.5809756785</v>
      </c>
      <c r="L95" s="167" t="n">
        <f aca="false">IF(ISNUMBER(Perf_Prod!L93),IF(Perf_Prod!L93&gt;0,Perf!L22*(Perf!L43+Perf!L44)/Perf_Prod!L93,0),Perf_Prod!L93)</f>
        <v>4759957.07971287</v>
      </c>
      <c r="M95" s="167" t="n">
        <f aca="false">IF(ISNUMBER(Perf_Prod!M93),IF(Perf_Prod!M93&gt;0,Perf!M22*(Perf!M43+Perf!M44)/Perf_Prod!M93,0),Perf_Prod!M93)</f>
        <v>1499751.49343434</v>
      </c>
      <c r="N95" s="167" t="n">
        <f aca="false">IF(ISNUMBER(Perf_Prod!N93),IF(Perf_Prod!N93&gt;0,Perf!N22*(Perf!N43+Perf!N44)/Perf_Prod!N93,0),Perf_Prod!N93)</f>
        <v>306668.01182746</v>
      </c>
      <c r="O95" s="167" t="n">
        <f aca="false">IF(ISNUMBER(Perf_Prod!O93),IF(Perf_Prod!O93&gt;0,Perf!O22*(Perf!O43+Perf!O44)/Perf_Prod!O93,0),Perf_Prod!O93)</f>
        <v>9652529.89969831</v>
      </c>
      <c r="P95" s="167" t="n">
        <f aca="false">IF(ISNUMBER(Perf_Prod!P93),IF(Perf_Prod!P93&gt;0,Perf!P22*(Perf!P43+Perf!P44)/Perf_Prod!P93,0),Perf_Prod!P93)</f>
        <v>3096714.28964121</v>
      </c>
      <c r="Q95" s="167" t="n">
        <f aca="false">IF(ISNUMBER(Perf_Prod!Q93),IF(Perf_Prod!Q93&gt;0,Perf!Q22*(Perf!Q43+Perf!Q44)/Perf_Prod!Q93,0),Perf_Prod!Q93)</f>
        <v>677106.799431873</v>
      </c>
      <c r="S95" s="167" t="n">
        <f aca="false">IF(ISNUMBER(Perf_Prod!S93),IF(Perf_Prod!S93&gt;0,Perf!C22*(Perf!C43+Perf!C44)/Perf_Prod!S93,0),Perf_Prod!S93)</f>
        <v>90522.5736432564</v>
      </c>
      <c r="T95" s="167" t="n">
        <f aca="false">IF(ISNUMBER(Perf_Prod!T93),IF(Perf_Prod!T93&gt;0,Perf!D22*(Perf!D43+Perf!D44)/Perf_Prod!T93,0),Perf_Prod!T93)</f>
        <v>26279.9015937499</v>
      </c>
      <c r="U95" s="167" t="str">
        <f aca="false">IF(ISNUMBER(Perf_Prod!U93),IF(Perf_Prod!U93&gt;0,Perf!E22*(Perf!E43+Perf!E44)/Perf_Prod!U93,0),Perf_Prod!U93)</f>
        <v>TTFT 不可達</v>
      </c>
      <c r="V95" s="167" t="n">
        <f aca="false">IF(ISNUMBER(Perf_Prod!V93),IF(Perf_Prod!V93&gt;0,Perf!F22*(Perf!F43+Perf!F44)/Perf_Prod!V93,0),Perf_Prod!V93)</f>
        <v>1648540.14144621</v>
      </c>
      <c r="W95" s="167" t="n">
        <f aca="false">IF(ISNUMBER(Perf_Prod!W93),IF(Perf_Prod!W93&gt;0,Perf!G22*(Perf!G43+Perf!G44)/Perf_Prod!W93,0),Perf_Prod!W93)</f>
        <v>473783.155186397</v>
      </c>
      <c r="X95" s="167" t="n">
        <f aca="false">IF(ISNUMBER(Perf_Prod!X93),IF(Perf_Prod!X93&gt;0,Perf!H22*(Perf!H43+Perf!H44)/Perf_Prod!X93,0),Perf_Prod!X93)</f>
        <v>91192.7873461663</v>
      </c>
      <c r="Y95" s="167" t="n">
        <f aca="false">IF(ISNUMBER(Perf_Prod!Y93),IF(Perf_Prod!Y93&gt;0,Perf!I22*(Perf!I43+Perf!I44)/Perf_Prod!Y93,0),Perf_Prod!Y93)</f>
        <v>2472810.21216931</v>
      </c>
      <c r="Z95" s="167" t="n">
        <f aca="false">IF(ISNUMBER(Perf_Prod!Z93),IF(Perf_Prod!Z93&gt;0,Perf!J22*(Perf!J43+Perf!J44)/Perf_Prod!Z93,0),Perf_Prod!Z93)</f>
        <v>710674.732779595</v>
      </c>
      <c r="AA95" s="167" t="n">
        <f aca="false">IF(ISNUMBER(Perf_Prod!AA93),IF(Perf_Prod!AA93&gt;0,Perf!K22*(Perf!K43+Perf!K44)/Perf_Prod!AA93,0),Perf_Prod!AA93)</f>
        <v>113610.678728985</v>
      </c>
      <c r="AB95" s="167" t="n">
        <f aca="false">IF(ISNUMBER(Perf_Prod!AB93),IF(Perf_Prod!AB93&gt;0,Perf!L22*(Perf!L43+Perf!L44)/Perf_Prod!AB93,0),Perf_Prod!AB93)</f>
        <v>6047542.53332882</v>
      </c>
      <c r="AC95" s="167" t="n">
        <f aca="false">IF(ISNUMBER(Perf_Prod!AC93),IF(Perf_Prod!AC93&gt;0,Perf!M22*(Perf!M43+Perf!M44)/Perf_Prod!AC93,0),Perf_Prod!AC93)</f>
        <v>1856942.7817541</v>
      </c>
      <c r="AD95" s="167" t="n">
        <f aca="false">IF(ISNUMBER(Perf_Prod!AD93),IF(Perf_Prod!AD93&gt;0,Perf!N22*(Perf!N43+Perf!N44)/Perf_Prod!AD93,0),Perf_Prod!AD93)</f>
        <v>400425.262990618</v>
      </c>
      <c r="AE95" s="167" t="n">
        <f aca="false">IF(ISNUMBER(Perf_Prod!AE93),IF(Perf_Prod!AE93&gt;0,Perf!O22*(Perf!O43+Perf!O44)/Perf_Prod!AE93,0),Perf_Prod!AE93)</f>
        <v>12242836.6707437</v>
      </c>
      <c r="AF95" s="167" t="n">
        <f aca="false">IF(ISNUMBER(Perf_Prod!AF93),IF(Perf_Prod!AF93&gt;0,Perf!P22*(Perf!P43+Perf!P44)/Perf_Prod!AF93,0),Perf_Prod!AF93)</f>
        <v>3823763.31251331</v>
      </c>
      <c r="AG95" s="167" t="n">
        <f aca="false">IF(ISNUMBER(Perf_Prod!AG93),IF(Perf_Prod!AG93&gt;0,Perf!Q22*(Perf!Q43+Perf!Q44)/Perf_Prod!AG93,0),Perf_Prod!AG93)</f>
        <v>872177.01955352</v>
      </c>
    </row>
    <row r="98" customFormat="false" ht="15" hidden="false" customHeight="false" outlineLevel="0" collapsed="false">
      <c r="A98" s="60" t="s">
        <v>798</v>
      </c>
      <c r="B98" s="58" t="s">
        <v>2362</v>
      </c>
      <c r="C98" s="167" t="n">
        <f aca="false">IF(ISNUMBER(Perf_Prod!C95),Perf_Prod!C95*Perf!C25*8760*3600/1000000,Perf_Prod!C95)</f>
        <v>43226918626.609</v>
      </c>
      <c r="D98" s="167" t="n">
        <f aca="false">IF(ISNUMBER(Perf_Prod!D95),Perf_Prod!D95*Perf!D25*8760*3600/1000000,Perf_Prod!D95)</f>
        <v>13426715849.566</v>
      </c>
      <c r="E98" s="167" t="str">
        <f aca="false">IF(ISNUMBER(Perf_Prod!E95),Perf_Prod!E95*Perf!E25*8760*3600/1000000,Perf_Prod!E95)</f>
        <v>TTFT 不可達</v>
      </c>
      <c r="F98" s="167" t="n">
        <f aca="false">IF(ISNUMBER(Perf_Prod!F95),Perf_Prod!F95*Perf!F25*8760*3600/1000000,Perf_Prod!F95)</f>
        <v>283232558336.892</v>
      </c>
      <c r="G98" s="167" t="n">
        <f aca="false">IF(ISNUMBER(Perf_Prod!G95),Perf_Prod!G95*Perf!G25*8760*3600/1000000,Perf_Prod!G95)</f>
        <v>83122186024.2059</v>
      </c>
      <c r="H98" s="167" t="n">
        <f aca="false">IF(ISNUMBER(Perf_Prod!H95),Perf_Prod!H95*Perf!H25*8760*3600/1000000,Perf_Prod!H95)</f>
        <v>14685984375.9429</v>
      </c>
      <c r="I98" s="167" t="n">
        <f aca="false">IF(ISNUMBER(Perf_Prod!I95),Perf_Prod!I95*Perf!I25*8760*3600/1000000,Perf_Prod!I95)</f>
        <v>412351490441.398</v>
      </c>
      <c r="J98" s="167" t="n">
        <f aca="false">IF(ISNUMBER(Perf_Prod!J95),Perf_Prod!J95*Perf!J25*8760*3600/1000000,Perf_Prod!J95)</f>
        <v>121015597560.854</v>
      </c>
      <c r="K98" s="167" t="n">
        <f aca="false">IF(ISNUMBER(Perf_Prod!K95),Perf_Prod!K95*Perf!K25*8760*3600/1000000,Perf_Prod!K95)</f>
        <v>16941591354.3218</v>
      </c>
      <c r="L98" s="167" t="n">
        <f aca="false">IF(ISNUMBER(Perf_Prod!L95),Perf_Prod!L95*Perf!L25*8760*3600/1000000,Perf_Prod!L95)</f>
        <v>608245746199.523</v>
      </c>
      <c r="M98" s="167" t="n">
        <f aca="false">IF(ISNUMBER(Perf_Prod!M95),Perf_Prod!M95*Perf!M25*8760*3600/1000000,Perf_Prod!M95)</f>
        <v>191644052868.822</v>
      </c>
      <c r="N98" s="167" t="n">
        <f aca="false">IF(ISNUMBER(Perf_Prod!N95),Perf_Prod!N95*Perf!N25*8760*3600/1000000,Perf_Prod!N95)</f>
        <v>39187225969.8546</v>
      </c>
      <c r="O98" s="167" t="n">
        <f aca="false">IF(ISNUMBER(Perf_Prod!O95),Perf_Prod!O95*Perf!O25*8760*3600/1000000,Perf_Prod!O95)</f>
        <v>823407904790.176</v>
      </c>
      <c r="P98" s="167" t="n">
        <f aca="false">IF(ISNUMBER(Perf_Prod!P95),Perf_Prod!P95*Perf!P25*8760*3600/1000000,Perf_Prod!P95)</f>
        <v>264164840872.129</v>
      </c>
      <c r="Q98" s="167" t="n">
        <f aca="false">IF(ISNUMBER(Perf_Prod!Q95),Perf_Prod!Q95*Perf!Q25*8760*3600/1000000,Perf_Prod!Q95)</f>
        <v>57760514272.72</v>
      </c>
      <c r="S98" s="167" t="n">
        <f aca="false">IF(ISNUMBER(Perf_Prod!S95),Perf_Prod!S95*Perf!C25*8760*3600/1000000,Perf_Prod!S95)</f>
        <v>64057059441.4818</v>
      </c>
      <c r="T98" s="167" t="n">
        <f aca="false">IF(ISNUMBER(Perf_Prod!T95),Perf_Prod!T95*Perf!D25*8760*3600/1000000,Perf_Prod!T95)</f>
        <v>18596612433.2849</v>
      </c>
      <c r="U98" s="167" t="str">
        <f aca="false">IF(ISNUMBER(Perf_Prod!U95),Perf_Prod!U95*Perf!E25*8760*3600/1000000,Perf_Prod!U95)</f>
        <v>TTFT 不可達</v>
      </c>
      <c r="V98" s="167" t="n">
        <f aca="false">IF(ISNUMBER(Perf_Prod!V95),Perf_Prod!V95*Perf!F25*8760*3600/1000000,Perf_Prod!V95)</f>
        <v>362306894085.614</v>
      </c>
      <c r="W98" s="167" t="n">
        <f aca="false">IF(ISNUMBER(Perf_Prod!W95),Perf_Prod!W95*Perf!G25*8760*3600/1000000,Perf_Prod!W95)</f>
        <v>104125401080.667</v>
      </c>
      <c r="X98" s="167" t="n">
        <f aca="false">IF(ISNUMBER(Perf_Prod!X95),Perf_Prod!X95*Perf!H25*8760*3600/1000000,Perf_Prod!X95)</f>
        <v>20041838664.2467</v>
      </c>
      <c r="Y98" s="167" t="n">
        <f aca="false">IF(ISNUMBER(Perf_Prod!Y95),Perf_Prod!Y95*Perf!I25*8760*3600/1000000,Perf_Prod!Y95)</f>
        <v>527473919843.971</v>
      </c>
      <c r="Z98" s="167" t="n">
        <f aca="false">IF(ISNUMBER(Perf_Prod!Z95),Perf_Prod!Z95*Perf!J25*8760*3600/1000000,Perf_Prod!Z95)</f>
        <v>151593674754.548</v>
      </c>
      <c r="AA98" s="167" t="n">
        <f aca="false">IF(ISNUMBER(Perf_Prod!AA95),Perf_Prod!AA95*Perf!K25*8760*3600/1000000,Perf_Prod!AA95)</f>
        <v>24234237528.7831</v>
      </c>
      <c r="AB98" s="167" t="n">
        <f aca="false">IF(ISNUMBER(Perf_Prod!AB95),Perf_Prod!AB95*Perf!L25*8760*3600/1000000,Perf_Prod!AB95)</f>
        <v>772778400993.445</v>
      </c>
      <c r="AC98" s="167" t="n">
        <f aca="false">IF(ISNUMBER(Perf_Prod!AC95),Perf_Prod!AC95*Perf!M25*8760*3600/1000000,Perf_Prod!AC95)</f>
        <v>237287338734.99</v>
      </c>
      <c r="AD98" s="167" t="n">
        <f aca="false">IF(ISNUMBER(Perf_Prod!AD95),Perf_Prod!AD95*Perf!N25*8760*3600/1000000,Perf_Prod!AD95)</f>
        <v>51167890551.5595</v>
      </c>
      <c r="AE98" s="167" t="n">
        <f aca="false">IF(ISNUMBER(Perf_Prod!AE95),Perf_Prod!AE95*Perf!O25*8760*3600/1000000,Perf_Prod!AE95)</f>
        <v>1044373713057.39</v>
      </c>
      <c r="AF98" s="167" t="n">
        <f aca="false">IF(ISNUMBER(Perf_Prod!AF95),Perf_Prod!AF95*Perf!P25*8760*3600/1000000,Perf_Prod!AF95)</f>
        <v>326185670522.351</v>
      </c>
      <c r="AG98" s="167" t="n">
        <f aca="false">IF(ISNUMBER(Perf_Prod!AG95),Perf_Prod!AG95*Perf!Q25*8760*3600/1000000,Perf_Prod!AG95)</f>
        <v>74400955991.7707</v>
      </c>
    </row>
    <row r="101" customFormat="false" ht="15" hidden="false" customHeight="false" outlineLevel="0" collapsed="false">
      <c r="A101" s="60" t="s">
        <v>802</v>
      </c>
      <c r="B101" s="58" t="s">
        <v>803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1" t="s">
        <v>805</v>
      </c>
      <c r="B103" s="58" t="s">
        <v>803</v>
      </c>
      <c r="C103" s="98" t="n">
        <f aca="false">IF(ISNUMBER(Perf_Prod!C88),IF(Perf_Prod!C88&gt;0,IF(Perf_Prod!C77="是",1000000/Perf_Prod!C88,"TTFT 不可達"),"SLO 不可達"),"SLO 不可達")</f>
        <v>3500.97938726308</v>
      </c>
      <c r="D103" s="98" t="n">
        <f aca="false">IF(ISNUMBER(Perf_Prod!D88),IF(Perf_Prod!D88&gt;0,IF(Perf_Prod!D77="是",1000000/Perf_Prod!D88,"TTFT 不可達"),"SLO 不可達"),"SLO 不可達")</f>
        <v>10966.2829128624</v>
      </c>
      <c r="E103" s="98" t="str">
        <f aca="false">IF(ISNUMBER(Perf_Prod!E88),IF(Perf_Prod!E88&gt;0,IF(Perf_Prod!E77="是",1000000/Perf_Prod!E88,"TTFT 不可達"),"SLO 不可達"),"SLO 不可達")</f>
        <v>TTFT 不可達</v>
      </c>
      <c r="F103" s="98" t="n">
        <f aca="false">IF(ISNUMBER(Perf_Prod!F88),IF(Perf_Prod!F88&gt;0,IF(Perf_Prod!F77="是",1000000/Perf_Prod!F88,"TTFT 不可達"),"SLO 不可達"),"SLO 不可達")</f>
        <v>382.784987381678</v>
      </c>
      <c r="G103" s="98" t="n">
        <f aca="false">IF(ISNUMBER(Perf_Prod!G88),IF(Perf_Prod!G88&gt;0,IF(Perf_Prod!G77="是",1000000/Perf_Prod!G88,"TTFT 不可達"),"SLO 不可達"),"SLO 不可達")</f>
        <v>1296.70484155172</v>
      </c>
      <c r="H103" s="98" t="n">
        <f aca="false">IF(ISNUMBER(Perf_Prod!H88),IF(Perf_Prod!H88&gt;0,IF(Perf_Prod!H77="是",1000000/Perf_Prod!H88,"TTFT 不可達"),"SLO 不可達"),"SLO 不可達")</f>
        <v>8315.20255430959</v>
      </c>
      <c r="I103" s="98" t="n">
        <f aca="false">IF(ISNUMBER(Perf_Prod!I88),IF(Perf_Prod!I88&gt;0,IF(Perf_Prod!I77="是",1000000/Perf_Prod!I88,"TTFT 不可達"),"SLO 不可達"),"SLO 不可達")</f>
        <v>255.189991587785</v>
      </c>
      <c r="J103" s="98" t="n">
        <f aca="false">IF(ISNUMBER(Perf_Prod!J88),IF(Perf_Prod!J88&gt;0,IF(Perf_Prod!J77="是",1000000/Perf_Prod!J88,"TTFT 不可達"),"SLO 不可達"),"SLO 不可達")</f>
        <v>864.469894367812</v>
      </c>
      <c r="K103" s="98" t="n">
        <f aca="false">IF(ISNUMBER(Perf_Prod!K88),IF(Perf_Prod!K88&gt;0,IF(Perf_Prod!K77="是",1000000/Perf_Prod!K88,"TTFT 不可達"),"SLO 不可達"),"SLO 不可達")</f>
        <v>7237.51745304007</v>
      </c>
      <c r="L103" s="98" t="n">
        <f aca="false">IF(ISNUMBER(Perf_Prod!L88),IF(Perf_Prod!L88&gt;0,IF(Perf_Prod!L77="是",1000000/Perf_Prod!L88,"TTFT 不可達"),"SLO 不可達"),"SLO 不可達")</f>
        <v>101.841168022192</v>
      </c>
      <c r="M103" s="98" t="n">
        <f aca="false">IF(ISNUMBER(Perf_Prod!M88),IF(Perf_Prod!M88&gt;0,IF(Perf_Prod!M77="是",1000000/Perf_Prod!M88,"TTFT 不可達"),"SLO 不可達"),"SLO 不可達")</f>
        <v>313.042470405803</v>
      </c>
      <c r="N103" s="98" t="n">
        <f aca="false">IF(ISNUMBER(Perf_Prod!N88),IF(Perf_Prod!N88&gt;0,IF(Perf_Prod!N77="是",1000000/Perf_Prod!N88,"TTFT 不可達"),"SLO 不可達"),"SLO 不可達")</f>
        <v>1718.16080972775</v>
      </c>
      <c r="O103" s="98" t="n">
        <f aca="false">IF(ISNUMBER(Perf_Prod!O88),IF(Perf_Prod!O88&gt;0,IF(Perf_Prod!O77="是",1000000/Perf_Prod!O88,"TTFT 不可達"),"SLO 不可達"),"SLO 不可達")</f>
        <v>49.9854025436179</v>
      </c>
      <c r="P103" s="98" t="n">
        <f aca="false">IF(ISNUMBER(Perf_Prod!P88),IF(Perf_Prod!P88&gt;0,IF(Perf_Prod!P77="是",1000000/Perf_Prod!P88,"TTFT 不可達"),"SLO 不可達"),"SLO 不可達")</f>
        <v>149.739492131963</v>
      </c>
      <c r="Q103" s="98" t="n">
        <f aca="false">IF(ISNUMBER(Perf_Prod!Q88),IF(Perf_Prod!Q88&gt;0,IF(Perf_Prod!Q77="是",1000000/Perf_Prod!Q88,"TTFT 不可達"),"SLO 不可達"),"SLO 不可達")</f>
        <v>759.576286085008</v>
      </c>
      <c r="S103" s="98" t="n">
        <f aca="false">IF(ISNUMBER(Perf_Prod!S88),IF(Perf_Prod!S88&gt;0,IF(Perf_Prod!S77="是",1000000/Perf_Prod!S88,"TTFT 不可達"),"SLO 不可達"),"SLO 不可達")</f>
        <v>2149.91739152173</v>
      </c>
      <c r="T103" s="98" t="n">
        <f aca="false">IF(ISNUMBER(Perf_Prod!T88),IF(Perf_Prod!T88&gt;0,IF(Perf_Prod!T77="是",1000000/Perf_Prod!T88,"TTFT 不可達"),"SLO 不可達"),"SLO 不可達")</f>
        <v>7378.44356582218</v>
      </c>
      <c r="U103" s="98" t="str">
        <f aca="false">IF(ISNUMBER(Perf_Prod!U88),IF(Perf_Prod!U88&gt;0,IF(Perf_Prod!U77="是",1000000/Perf_Prod!U88,"TTFT 不可達"),"SLO 不可達"),"SLO 不可達")</f>
        <v>TTFT 不可達</v>
      </c>
      <c r="V103" s="98" t="n">
        <f aca="false">IF(ISNUMBER(Perf_Prod!V88),IF(Perf_Prod!V88&gt;0,IF(Perf_Prod!V77="是",1000000/Perf_Prod!V88,"TTFT 不可達"),"SLO 不可達"),"SLO 不可達")</f>
        <v>291.04887389608</v>
      </c>
      <c r="W103" s="98" t="n">
        <f aca="false">IF(ISNUMBER(Perf_Prod!W88),IF(Perf_Prod!W88&gt;0,IF(Perf_Prod!W77="是",1000000/Perf_Prod!W88,"TTFT 不可達"),"SLO 不可達"),"SLO 不可達")</f>
        <v>1013.60270124925</v>
      </c>
      <c r="X103" s="98" t="n">
        <f aca="false">IF(ISNUMBER(Perf_Prod!X88),IF(Perf_Prod!X88&gt;0,IF(Perf_Prod!X77="是",1000000/Perf_Prod!X88,"TTFT 不可達"),"SLO 不可達"),"SLO 不可達")</f>
        <v>5931.07676520949</v>
      </c>
      <c r="Y103" s="98" t="n">
        <f aca="false">IF(ISNUMBER(Perf_Prod!Y88),IF(Perf_Prod!Y88&gt;0,IF(Perf_Prod!Y77="是",1000000/Perf_Prod!Y88,"TTFT 不可達"),"SLO 不可達"),"SLO 不可達")</f>
        <v>194.032582597387</v>
      </c>
      <c r="Z103" s="98" t="n">
        <f aca="false">IF(ISNUMBER(Perf_Prod!Z88),IF(Perf_Prod!Z88&gt;0,IF(Perf_Prod!Z77="是",1000000/Perf_Prod!Z88,"TTFT 不可達"),"SLO 不可達"),"SLO 不可達")</f>
        <v>675.735134166168</v>
      </c>
      <c r="AA103" s="98" t="n">
        <f aca="false">IF(ISNUMBER(Perf_Prod!AA88),IF(Perf_Prod!AA88&gt;0,IF(Perf_Prod!AA77="是",1000000/Perf_Prod!AA88,"TTFT 不可達"),"SLO 不可達"),"SLO 不可達")</f>
        <v>4920.52361227776</v>
      </c>
      <c r="AB103" s="98" t="n">
        <f aca="false">IF(ISNUMBER(Perf_Prod!AB88),IF(Perf_Prod!AB88&gt;0,IF(Perf_Prod!AB77="是",1000000/Perf_Prod!AB88,"TTFT 不可達"),"SLO 不可達"),"SLO 不可達")</f>
        <v>78.000625684729</v>
      </c>
      <c r="AC103" s="98" t="n">
        <f aca="false">IF(ISNUMBER(Perf_Prod!AC88),IF(Perf_Prod!AC88&gt;0,IF(Perf_Prod!AC77="是",1000000/Perf_Prod!AC88,"TTFT 不可達"),"SLO 不可達"),"SLO 不可達")</f>
        <v>247.785926826261</v>
      </c>
      <c r="AD103" s="98" t="n">
        <f aca="false">IF(ISNUMBER(Perf_Prod!AD88),IF(Perf_Prod!AD88&gt;0,IF(Perf_Prod!AD77="是",1000000/Perf_Prod!AD88,"TTFT 不可達"),"SLO 不可達"),"SLO 不可達")</f>
        <v>1282.63712409266</v>
      </c>
      <c r="AE103" s="98" t="n">
        <f aca="false">IF(ISNUMBER(Perf_Prod!AE88),IF(Perf_Prod!AE88&gt;0,IF(Perf_Prod!AE77="是",1000000/Perf_Prod!AE88,"TTFT 不可達"),"SLO 不可達"),"SLO 不可達")</f>
        <v>38.3537418336927</v>
      </c>
      <c r="AF103" s="98" t="n">
        <f aca="false">IF(ISNUMBER(Perf_Prod!AF88),IF(Perf_Prod!AF88&gt;0,IF(Perf_Prod!AF77="是",1000000/Perf_Prod!AF88,"TTFT 不可達"),"SLO 不可達"),"SLO 不可達")</f>
        <v>118.879183801455</v>
      </c>
      <c r="AG103" s="98" t="n">
        <f aca="false">IF(ISNUMBER(Perf_Prod!AG88),IF(Perf_Prod!AG88&gt;0,IF(Perf_Prod!AG77="是",1000000/Perf_Prod!AG88,"TTFT 不可達"),"SLO 不可達"),"SLO 不可達")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2363</v>
      </c>
    </row>
    <row r="2" customFormat="false" ht="15" hidden="false" customHeight="false" outlineLevel="0" collapsed="false">
      <c r="A2" s="73" t="s">
        <v>2364</v>
      </c>
    </row>
    <row r="3" customFormat="false" ht="15" hidden="false" customHeight="false" outlineLevel="0" collapsed="false">
      <c r="S3" s="59" t="s">
        <v>2360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89" t="n">
        <f aca="false">Perf_Batch!C6</f>
        <v>1</v>
      </c>
      <c r="D6" s="89" t="n">
        <f aca="false">Perf_Batch!D6</f>
        <v>1</v>
      </c>
      <c r="E6" s="89" t="n">
        <f aca="false">Perf_Batch!E6</f>
        <v>1</v>
      </c>
      <c r="F6" s="89" t="n">
        <f aca="false">Perf_Batch!F6</f>
        <v>2</v>
      </c>
      <c r="G6" s="89" t="n">
        <f aca="false">Perf_Batch!G6</f>
        <v>2</v>
      </c>
      <c r="H6" s="89" t="n">
        <f aca="false">Perf_Batch!H6</f>
        <v>2</v>
      </c>
      <c r="I6" s="89" t="n">
        <f aca="false">Perf_Batch!I6</f>
        <v>3</v>
      </c>
      <c r="J6" s="89" t="n">
        <f aca="false">Perf_Batch!J6</f>
        <v>3</v>
      </c>
      <c r="K6" s="89" t="n">
        <f aca="false">Perf_Batch!K6</f>
        <v>3</v>
      </c>
      <c r="L6" s="89" t="n">
        <f aca="false">Perf_Batch!L6</f>
        <v>4</v>
      </c>
      <c r="M6" s="89" t="n">
        <f aca="false">Perf_Batch!M6</f>
        <v>4</v>
      </c>
      <c r="N6" s="89" t="n">
        <f aca="false">Perf_Batch!N6</f>
        <v>4</v>
      </c>
      <c r="O6" s="89" t="n">
        <f aca="false">Perf_Batch!O6</f>
        <v>5</v>
      </c>
      <c r="P6" s="89" t="n">
        <f aca="false">Perf_Batch!P6</f>
        <v>5</v>
      </c>
      <c r="Q6" s="89" t="n">
        <f aca="false">Perf_Batch!Q6</f>
        <v>5</v>
      </c>
      <c r="S6" s="89" t="n">
        <f aca="false">Perf_Batch!C6</f>
        <v>1</v>
      </c>
      <c r="T6" s="89" t="n">
        <f aca="false">Perf_Batch!D6</f>
        <v>1</v>
      </c>
      <c r="U6" s="89" t="n">
        <f aca="false">Perf_Batch!E6</f>
        <v>1</v>
      </c>
      <c r="V6" s="89" t="n">
        <f aca="false">Perf_Batch!F6</f>
        <v>2</v>
      </c>
      <c r="W6" s="89" t="n">
        <f aca="false">Perf_Batch!G6</f>
        <v>2</v>
      </c>
      <c r="X6" s="89" t="n">
        <f aca="false">Perf_Batch!H6</f>
        <v>2</v>
      </c>
      <c r="Y6" s="89" t="n">
        <f aca="false">Perf_Batch!I6</f>
        <v>3</v>
      </c>
      <c r="Z6" s="89" t="n">
        <f aca="false">Perf_Batch!J6</f>
        <v>3</v>
      </c>
      <c r="AA6" s="89" t="n">
        <f aca="false">Perf_Batch!K6</f>
        <v>3</v>
      </c>
      <c r="AB6" s="89" t="n">
        <f aca="false">Perf_Batch!L6</f>
        <v>4</v>
      </c>
      <c r="AC6" s="89" t="n">
        <f aca="false">Perf_Batch!M6</f>
        <v>4</v>
      </c>
      <c r="AD6" s="89" t="n">
        <f aca="false">Perf_Batch!N6</f>
        <v>4</v>
      </c>
      <c r="AE6" s="89" t="n">
        <f aca="false">Perf_Batch!O6</f>
        <v>5</v>
      </c>
      <c r="AF6" s="89" t="n">
        <f aca="false">Perf_Batch!P6</f>
        <v>5</v>
      </c>
      <c r="AG6" s="89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89" t="n">
        <f aca="false">Perf_Batch!C7</f>
        <v>1</v>
      </c>
      <c r="D7" s="89" t="n">
        <f aca="false">Perf_Batch!D7</f>
        <v>2</v>
      </c>
      <c r="E7" s="89" t="n">
        <f aca="false">Perf_Batch!E7</f>
        <v>3</v>
      </c>
      <c r="F7" s="89" t="n">
        <f aca="false">Perf_Batch!F7</f>
        <v>1</v>
      </c>
      <c r="G7" s="89" t="n">
        <f aca="false">Perf_Batch!G7</f>
        <v>2</v>
      </c>
      <c r="H7" s="89" t="n">
        <f aca="false">Perf_Batch!H7</f>
        <v>3</v>
      </c>
      <c r="I7" s="89" t="n">
        <f aca="false">Perf_Batch!I7</f>
        <v>1</v>
      </c>
      <c r="J7" s="89" t="n">
        <f aca="false">Perf_Batch!J7</f>
        <v>2</v>
      </c>
      <c r="K7" s="89" t="n">
        <f aca="false">Perf_Batch!K7</f>
        <v>3</v>
      </c>
      <c r="L7" s="89" t="n">
        <f aca="false">Perf_Batch!L7</f>
        <v>1</v>
      </c>
      <c r="M7" s="89" t="n">
        <f aca="false">Perf_Batch!M7</f>
        <v>2</v>
      </c>
      <c r="N7" s="89" t="n">
        <f aca="false">Perf_Batch!N7</f>
        <v>3</v>
      </c>
      <c r="O7" s="89" t="n">
        <f aca="false">Perf_Batch!O7</f>
        <v>1</v>
      </c>
      <c r="P7" s="89" t="n">
        <f aca="false">Perf_Batch!P7</f>
        <v>2</v>
      </c>
      <c r="Q7" s="89" t="n">
        <f aca="false">Perf_Batch!Q7</f>
        <v>3</v>
      </c>
      <c r="S7" s="89" t="n">
        <f aca="false">Perf_Batch!C7</f>
        <v>1</v>
      </c>
      <c r="T7" s="89" t="n">
        <f aca="false">Perf_Batch!D7</f>
        <v>2</v>
      </c>
      <c r="U7" s="89" t="n">
        <f aca="false">Perf_Batch!E7</f>
        <v>3</v>
      </c>
      <c r="V7" s="89" t="n">
        <f aca="false">Perf_Batch!F7</f>
        <v>1</v>
      </c>
      <c r="W7" s="89" t="n">
        <f aca="false">Perf_Batch!G7</f>
        <v>2</v>
      </c>
      <c r="X7" s="89" t="n">
        <f aca="false">Perf_Batch!H7</f>
        <v>3</v>
      </c>
      <c r="Y7" s="89" t="n">
        <f aca="false">Perf_Batch!I7</f>
        <v>1</v>
      </c>
      <c r="Z7" s="89" t="n">
        <f aca="false">Perf_Batch!J7</f>
        <v>2</v>
      </c>
      <c r="AA7" s="89" t="n">
        <f aca="false">Perf_Batch!K7</f>
        <v>3</v>
      </c>
      <c r="AB7" s="89" t="n">
        <f aca="false">Perf_Batch!L7</f>
        <v>1</v>
      </c>
      <c r="AC7" s="89" t="n">
        <f aca="false">Perf_Batch!M7</f>
        <v>2</v>
      </c>
      <c r="AD7" s="89" t="n">
        <f aca="false">Perf_Batch!N7</f>
        <v>3</v>
      </c>
      <c r="AE7" s="89" t="n">
        <f aca="false">Perf_Batch!O7</f>
        <v>1</v>
      </c>
      <c r="AF7" s="89" t="n">
        <f aca="false">Perf_Batch!P7</f>
        <v>2</v>
      </c>
      <c r="AG7" s="89" t="n">
        <f aca="false">Perf_Batch!Q7</f>
        <v>3</v>
      </c>
    </row>
    <row r="50" customFormat="false" ht="15" hidden="false" customHeight="false" outlineLevel="0" collapsed="false">
      <c r="A50" s="60" t="s">
        <v>367</v>
      </c>
      <c r="B50" s="58" t="s">
        <v>103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1" t="s">
        <v>754</v>
      </c>
      <c r="B51" s="58" t="s">
        <v>99</v>
      </c>
      <c r="C51" s="109" t="n">
        <f aca="false">INDEX(Calib!$C$72:$G$72,Perf_Batch!C$6)*Perf_Batch_Prod!C50</f>
        <v>0.127435573521981</v>
      </c>
      <c r="D51" s="109" t="n">
        <f aca="false">INDEX(Calib!$C$72:$G$72,Perf_Batch!D$6)*Perf_Batch_Prod!D50</f>
        <v>0.127435573521981</v>
      </c>
      <c r="E51" s="109" t="n">
        <f aca="false">INDEX(Calib!$C$72:$G$72,Perf_Batch!E$6)*Perf_Batch_Prod!E50</f>
        <v>0.127435573521981</v>
      </c>
      <c r="F51" s="109" t="n">
        <f aca="false">INDEX(Calib!$C$72:$G$72,Perf_Batch!F$6)*Perf_Batch_Prod!F50</f>
        <v>0.255</v>
      </c>
      <c r="G51" s="109" t="n">
        <f aca="false">INDEX(Calib!$C$72:$G$72,Perf_Batch!G$6)*Perf_Batch_Prod!G50</f>
        <v>0.255</v>
      </c>
      <c r="H51" s="109" t="n">
        <f aca="false">INDEX(Calib!$C$72:$G$72,Perf_Batch!H$6)*Perf_Batch_Prod!H50</f>
        <v>0.255</v>
      </c>
      <c r="I51" s="109" t="n">
        <f aca="false">INDEX(Calib!$C$72:$G$72,Perf_Batch!I$6)*Perf_Batch_Prod!I50</f>
        <v>0.255</v>
      </c>
      <c r="J51" s="109" t="n">
        <f aca="false">INDEX(Calib!$C$72:$G$72,Perf_Batch!J$6)*Perf_Batch_Prod!J50</f>
        <v>0.255</v>
      </c>
      <c r="K51" s="109" t="n">
        <f aca="false">INDEX(Calib!$C$72:$G$72,Perf_Batch!K$6)*Perf_Batch_Prod!K50</f>
        <v>0.255</v>
      </c>
      <c r="L51" s="109" t="n">
        <f aca="false">INDEX(Calib!$C$72:$G$72,Perf_Batch!L$6)*Perf_Batch_Prod!L50</f>
        <v>0.255</v>
      </c>
      <c r="M51" s="109" t="n">
        <f aca="false">INDEX(Calib!$C$72:$G$72,Perf_Batch!M$6)*Perf_Batch_Prod!M50</f>
        <v>0.255</v>
      </c>
      <c r="N51" s="109" t="n">
        <f aca="false">INDEX(Calib!$C$72:$G$72,Perf_Batch!N$6)*Perf_Batch_Prod!N50</f>
        <v>0.255</v>
      </c>
      <c r="O51" s="109" t="n">
        <f aca="false">INDEX(Calib!$C$72:$G$72,Perf_Batch!O$6)*Perf_Batch_Prod!O50</f>
        <v>0.255</v>
      </c>
      <c r="P51" s="109" t="n">
        <f aca="false">INDEX(Calib!$C$72:$G$72,Perf_Batch!P$6)*Perf_Batch_Prod!P50</f>
        <v>0.255</v>
      </c>
      <c r="Q51" s="109" t="n">
        <f aca="false">INDEX(Calib!$C$72:$G$72,Perf_Batch!Q$6)*Perf_Batch_Prod!Q50</f>
        <v>0.255</v>
      </c>
      <c r="S51" s="109" t="n">
        <f aca="false">INDEX(Calib!$C$72:$G$72,Perf_Batch!C$6)*Perf_Batch_Prod!S50</f>
        <v>0.149924204143507</v>
      </c>
      <c r="T51" s="109" t="n">
        <f aca="false">INDEX(Calib!$C$72:$G$72,Perf_Batch!D$6)*Perf_Batch_Prod!T50</f>
        <v>0.149924204143507</v>
      </c>
      <c r="U51" s="109" t="n">
        <f aca="false">INDEX(Calib!$C$72:$G$72,Perf_Batch!E$6)*Perf_Batch_Prod!U50</f>
        <v>0.149924204143507</v>
      </c>
      <c r="V51" s="109" t="n">
        <f aca="false">INDEX(Calib!$C$72:$G$72,Perf_Batch!F$6)*Perf_Batch_Prod!V50</f>
        <v>0.3</v>
      </c>
      <c r="W51" s="109" t="n">
        <f aca="false">INDEX(Calib!$C$72:$G$72,Perf_Batch!G$6)*Perf_Batch_Prod!W50</f>
        <v>0.3</v>
      </c>
      <c r="X51" s="109" t="n">
        <f aca="false">INDEX(Calib!$C$72:$G$72,Perf_Batch!H$6)*Perf_Batch_Prod!X50</f>
        <v>0.3</v>
      </c>
      <c r="Y51" s="109" t="n">
        <f aca="false">INDEX(Calib!$C$72:$G$72,Perf_Batch!I$6)*Perf_Batch_Prod!Y50</f>
        <v>0.3</v>
      </c>
      <c r="Z51" s="109" t="n">
        <f aca="false">INDEX(Calib!$C$72:$G$72,Perf_Batch!J$6)*Perf_Batch_Prod!Z50</f>
        <v>0.3</v>
      </c>
      <c r="AA51" s="109" t="n">
        <f aca="false">INDEX(Calib!$C$72:$G$72,Perf_Batch!K$6)*Perf_Batch_Prod!AA50</f>
        <v>0.3</v>
      </c>
      <c r="AB51" s="109" t="n">
        <f aca="false">INDEX(Calib!$C$72:$G$72,Perf_Batch!L$6)*Perf_Batch_Prod!AB50</f>
        <v>0.3</v>
      </c>
      <c r="AC51" s="109" t="n">
        <f aca="false">INDEX(Calib!$C$72:$G$72,Perf_Batch!M$6)*Perf_Batch_Prod!AC50</f>
        <v>0.3</v>
      </c>
      <c r="AD51" s="109" t="n">
        <f aca="false">INDEX(Calib!$C$72:$G$72,Perf_Batch!N$6)*Perf_Batch_Prod!AD50</f>
        <v>0.3</v>
      </c>
      <c r="AE51" s="109" t="n">
        <f aca="false">INDEX(Calib!$C$72:$G$72,Perf_Batch!O$6)*Perf_Batch_Prod!AE50</f>
        <v>0.3</v>
      </c>
      <c r="AF51" s="109" t="n">
        <f aca="false">INDEX(Calib!$C$72:$G$72,Perf_Batch!P$6)*Perf_Batch_Prod!AF50</f>
        <v>0.3</v>
      </c>
      <c r="AG51" s="109" t="n">
        <f aca="false">INDEX(Calib!$C$72:$G$72,Perf_Batch!Q$6)*Perf_Batch_Prod!AG50</f>
        <v>0.3</v>
      </c>
    </row>
    <row r="53" customFormat="false" ht="15" hidden="false" customHeight="false" outlineLevel="0" collapsed="false">
      <c r="A53" s="61" t="s">
        <v>756</v>
      </c>
      <c r="B53" s="58" t="s">
        <v>99</v>
      </c>
      <c r="C53" s="110" t="n">
        <f aca="false">INDEX(Calib!$C$70:$G$70,Perf_Batch!C$6)*Perf_Batch!C52*Perf_Batch_Prod!C50*INDEX(CAL_BatchEtaD,1,Perf_Batch!C$6)</f>
        <v>0.0364701341698813</v>
      </c>
      <c r="D53" s="110" t="n">
        <f aca="false">INDEX(Calib!$C$70:$G$70,Perf_Batch!D$6)*Perf_Batch!D52*Perf_Batch_Prod!D50*INDEX(CAL_BatchEtaD,1,Perf_Batch!D$6)</f>
        <v>0.0364701341698813</v>
      </c>
      <c r="E53" s="110" t="n">
        <f aca="false">INDEX(Calib!$C$70:$G$70,Perf_Batch!E$6)*Perf_Batch!E52*Perf_Batch_Prod!E50*INDEX(CAL_BatchEtaD,1,Perf_Batch!E$6)</f>
        <v>0.0364701341698813</v>
      </c>
      <c r="F53" s="110" t="n">
        <f aca="false">INDEX(Calib!$C$70:$G$70,Perf_Batch!F$6)*Perf_Batch!F52*Perf_Batch_Prod!F50*INDEX(CAL_BatchEtaD,1,Perf_Batch!F$6)</f>
        <v>0.0303917784749011</v>
      </c>
      <c r="G53" s="110" t="n">
        <f aca="false">INDEX(Calib!$C$70:$G$70,Perf_Batch!G$6)*Perf_Batch!G52*Perf_Batch_Prod!G50*INDEX(CAL_BatchEtaD,1,Perf_Batch!G$6)</f>
        <v>0.0303917784749011</v>
      </c>
      <c r="H53" s="110" t="n">
        <f aca="false">INDEX(Calib!$C$70:$G$70,Perf_Batch!H$6)*Perf_Batch!H52*Perf_Batch_Prod!H50*INDEX(CAL_BatchEtaD,1,Perf_Batch!H$6)</f>
        <v>0.0303917784749011</v>
      </c>
      <c r="I53" s="110" t="n">
        <f aca="false">INDEX(Calib!$C$70:$G$70,Perf_Batch!I$6)*Perf_Batch!I52*Perf_Batch_Prod!I50*INDEX(CAL_BatchEtaD,1,Perf_Batch!I$6)</f>
        <v>0.0303917784749011</v>
      </c>
      <c r="J53" s="110" t="n">
        <f aca="false">INDEX(Calib!$C$70:$G$70,Perf_Batch!J$6)*Perf_Batch!J52*Perf_Batch_Prod!J50*INDEX(CAL_BatchEtaD,1,Perf_Batch!J$6)</f>
        <v>0.0303917784749011</v>
      </c>
      <c r="K53" s="110" t="n">
        <f aca="false">INDEX(Calib!$C$70:$G$70,Perf_Batch!K$6)*Perf_Batch!K52*Perf_Batch_Prod!K50*INDEX(CAL_BatchEtaD,1,Perf_Batch!K$6)</f>
        <v>0.0303917784749011</v>
      </c>
      <c r="L53" s="110" t="n">
        <f aca="false">INDEX(Calib!$C$70:$G$70,Perf_Batch!L$6)*Perf_Batch!L52*Perf_Batch_Prod!L50*INDEX(CAL_BatchEtaD,1,Perf_Batch!L$6)</f>
        <v>0.0227938338561758</v>
      </c>
      <c r="M53" s="110" t="n">
        <f aca="false">INDEX(Calib!$C$70:$G$70,Perf_Batch!M$6)*Perf_Batch!M52*Perf_Batch_Prod!M50*INDEX(CAL_BatchEtaD,1,Perf_Batch!M$6)</f>
        <v>0.0227938338561758</v>
      </c>
      <c r="N53" s="110" t="n">
        <f aca="false">INDEX(Calib!$C$70:$G$70,Perf_Batch!N$6)*Perf_Batch!N52*Perf_Batch_Prod!N50*INDEX(CAL_BatchEtaD,1,Perf_Batch!N$6)</f>
        <v>0.0227938338561758</v>
      </c>
      <c r="O53" s="110" t="n">
        <f aca="false">INDEX(Calib!$C$70:$G$70,Perf_Batch!O$6)*Perf_Batch!O52*Perf_Batch_Prod!O50*INDEX(CAL_BatchEtaD,1,Perf_Batch!O$6)</f>
        <v>0.0303917784749011</v>
      </c>
      <c r="P53" s="110" t="n">
        <f aca="false">INDEX(Calib!$C$70:$G$70,Perf_Batch!P$6)*Perf_Batch!P52*Perf_Batch_Prod!P50*INDEX(CAL_BatchEtaD,1,Perf_Batch!P$6)</f>
        <v>0.0303917784749011</v>
      </c>
      <c r="Q53" s="110" t="n">
        <f aca="false">INDEX(Calib!$C$70:$G$70,Perf_Batch!Q$6)*Perf_Batch!Q52*Perf_Batch_Prod!Q50*INDEX(CAL_BatchEtaD,1,Perf_Batch!Q$6)</f>
        <v>0.0303917784749011</v>
      </c>
      <c r="S53" s="110" t="n">
        <f aca="false">INDEX(Calib!$C$70:$G$70,Perf_Batch!C$6)*Perf_Batch!C52*Perf_Batch_Prod!S50*INDEX(CAL_BatchEtaD,1,Perf_Batch!C$6)</f>
        <v>0.0429060401998604</v>
      </c>
      <c r="T53" s="110" t="n">
        <f aca="false">INDEX(Calib!$C$70:$G$70,Perf_Batch!D$6)*Perf_Batch!D52*Perf_Batch_Prod!T50*INDEX(CAL_BatchEtaD,1,Perf_Batch!D$6)</f>
        <v>0.0429060401998604</v>
      </c>
      <c r="U53" s="110" t="n">
        <f aca="false">INDEX(Calib!$C$70:$G$70,Perf_Batch!E$6)*Perf_Batch!E52*Perf_Batch_Prod!U50*INDEX(CAL_BatchEtaD,1,Perf_Batch!E$6)</f>
        <v>0.0429060401998604</v>
      </c>
      <c r="V53" s="110" t="n">
        <f aca="false">INDEX(Calib!$C$70:$G$70,Perf_Batch!F$6)*Perf_Batch!F52*Perf_Batch_Prod!V50*INDEX(CAL_BatchEtaD,1,Perf_Batch!F$6)</f>
        <v>0.0357550334998836</v>
      </c>
      <c r="W53" s="110" t="n">
        <f aca="false">INDEX(Calib!$C$70:$G$70,Perf_Batch!G$6)*Perf_Batch!G52*Perf_Batch_Prod!W50*INDEX(CAL_BatchEtaD,1,Perf_Batch!G$6)</f>
        <v>0.0357550334998836</v>
      </c>
      <c r="X53" s="110" t="n">
        <f aca="false">INDEX(Calib!$C$70:$G$70,Perf_Batch!H$6)*Perf_Batch!H52*Perf_Batch_Prod!X50*INDEX(CAL_BatchEtaD,1,Perf_Batch!H$6)</f>
        <v>0.0357550334998836</v>
      </c>
      <c r="Y53" s="110" t="n">
        <f aca="false">INDEX(Calib!$C$70:$G$70,Perf_Batch!I$6)*Perf_Batch!I52*Perf_Batch_Prod!Y50*INDEX(CAL_BatchEtaD,1,Perf_Batch!I$6)</f>
        <v>0.0357550334998836</v>
      </c>
      <c r="Z53" s="110" t="n">
        <f aca="false">INDEX(Calib!$C$70:$G$70,Perf_Batch!J$6)*Perf_Batch!J52*Perf_Batch_Prod!Z50*INDEX(CAL_BatchEtaD,1,Perf_Batch!J$6)</f>
        <v>0.0357550334998836</v>
      </c>
      <c r="AA53" s="110" t="n">
        <f aca="false">INDEX(Calib!$C$70:$G$70,Perf_Batch!K$6)*Perf_Batch!K52*Perf_Batch_Prod!AA50*INDEX(CAL_BatchEtaD,1,Perf_Batch!K$6)</f>
        <v>0.0357550334998836</v>
      </c>
      <c r="AB53" s="110" t="n">
        <f aca="false">INDEX(Calib!$C$70:$G$70,Perf_Batch!L$6)*Perf_Batch!L52*Perf_Batch_Prod!AB50*INDEX(CAL_BatchEtaD,1,Perf_Batch!L$6)</f>
        <v>0.0268162751249127</v>
      </c>
      <c r="AC53" s="110" t="n">
        <f aca="false">INDEX(Calib!$C$70:$G$70,Perf_Batch!M$6)*Perf_Batch!M52*Perf_Batch_Prod!AC50*INDEX(CAL_BatchEtaD,1,Perf_Batch!M$6)</f>
        <v>0.0268162751249127</v>
      </c>
      <c r="AD53" s="110" t="n">
        <f aca="false">INDEX(Calib!$C$70:$G$70,Perf_Batch!N$6)*Perf_Batch!N52*Perf_Batch_Prod!AD50*INDEX(CAL_BatchEtaD,1,Perf_Batch!N$6)</f>
        <v>0.0268162751249127</v>
      </c>
      <c r="AE53" s="110" t="n">
        <f aca="false">INDEX(Calib!$C$70:$G$70,Perf_Batch!O$6)*Perf_Batch!O52*Perf_Batch_Prod!AE50*INDEX(CAL_BatchEtaD,1,Perf_Batch!O$6)</f>
        <v>0.0357550334998836</v>
      </c>
      <c r="AF53" s="110" t="n">
        <f aca="false">INDEX(Calib!$C$70:$G$70,Perf_Batch!P$6)*Perf_Batch!P52*Perf_Batch_Prod!AF50*INDEX(CAL_BatchEtaD,1,Perf_Batch!P$6)</f>
        <v>0.0357550334998836</v>
      </c>
      <c r="AG53" s="110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0" t="s">
        <v>758</v>
      </c>
      <c r="B55" s="58" t="s">
        <v>514</v>
      </c>
      <c r="C55" s="62" t="n">
        <f aca="false">INDEX(Calib!$C$71:$G$71,Perf_Batch!C$6)*Perf_Batch!C54/Perf_Batch_Prod!C50</f>
        <v>284.444714353584</v>
      </c>
      <c r="D55" s="62" t="n">
        <f aca="false">INDEX(Calib!$C$71:$G$71,Perf_Batch!D$6)*Perf_Batch!D54/Perf_Batch_Prod!D50</f>
        <v>284.444714353584</v>
      </c>
      <c r="E55" s="62" t="n">
        <f aca="false">INDEX(Calib!$C$71:$G$71,Perf_Batch!E$6)*Perf_Batch!E54/Perf_Batch_Prod!E50</f>
        <v>284.444714353584</v>
      </c>
      <c r="F55" s="62" t="n">
        <f aca="false">INDEX(Calib!$C$71:$G$71,Perf_Batch!F$6)*Perf_Batch!F54/Perf_Batch_Prod!F50</f>
        <v>189.629809569056</v>
      </c>
      <c r="G55" s="62" t="n">
        <f aca="false">INDEX(Calib!$C$71:$G$71,Perf_Batch!G$6)*Perf_Batch!G54/Perf_Batch_Prod!G50</f>
        <v>189.629809569056</v>
      </c>
      <c r="H55" s="62" t="n">
        <f aca="false">INDEX(Calib!$C$71:$G$71,Perf_Batch!H$6)*Perf_Batch!H54/Perf_Batch_Prod!H50</f>
        <v>189.629809569056</v>
      </c>
      <c r="I55" s="62" t="n">
        <f aca="false">INDEX(Calib!$C$71:$G$71,Perf_Batch!I$6)*Perf_Batch!I54/Perf_Batch_Prod!I50</f>
        <v>189.629809569056</v>
      </c>
      <c r="J55" s="62" t="n">
        <f aca="false">INDEX(Calib!$C$71:$G$71,Perf_Batch!J$6)*Perf_Batch!J54/Perf_Batch_Prod!J50</f>
        <v>189.629809569056</v>
      </c>
      <c r="K55" s="62" t="n">
        <f aca="false">INDEX(Calib!$C$71:$G$71,Perf_Batch!K$6)*Perf_Batch!K54/Perf_Batch_Prod!K50</f>
        <v>189.629809569056</v>
      </c>
      <c r="L55" s="62" t="n">
        <f aca="false">INDEX(Calib!$C$71:$G$71,Perf_Batch!L$6)*Perf_Batch!L54/Perf_Batch_Prod!L50</f>
        <v>189.629809569056</v>
      </c>
      <c r="M55" s="62" t="n">
        <f aca="false">INDEX(Calib!$C$71:$G$71,Perf_Batch!M$6)*Perf_Batch!M54/Perf_Batch_Prod!M50</f>
        <v>189.629809569056</v>
      </c>
      <c r="N55" s="62" t="n">
        <f aca="false">INDEX(Calib!$C$71:$G$71,Perf_Batch!N$6)*Perf_Batch!N54/Perf_Batch_Prod!N50</f>
        <v>189.629809569056</v>
      </c>
      <c r="O55" s="62" t="n">
        <f aca="false">INDEX(Calib!$C$71:$G$71,Perf_Batch!O$6)*Perf_Batch!O54/Perf_Batch_Prod!O50</f>
        <v>189.629809569056</v>
      </c>
      <c r="P55" s="62" t="n">
        <f aca="false">INDEX(Calib!$C$71:$G$71,Perf_Batch!P$6)*Perf_Batch!P54/Perf_Batch_Prod!P50</f>
        <v>189.629809569056</v>
      </c>
      <c r="Q55" s="62" t="n">
        <f aca="false">INDEX(Calib!$C$71:$G$71,Perf_Batch!Q$6)*Perf_Batch!Q54/Perf_Batch_Prod!Q50</f>
        <v>189.629809569056</v>
      </c>
      <c r="S55" s="62" t="n">
        <f aca="false">INDEX(Calib!$C$71:$G$71,Perf_Batch!C$6)*Perf_Batch!C54/Perf_Batch_Prod!S50</f>
        <v>241.778007200547</v>
      </c>
      <c r="T55" s="62" t="n">
        <f aca="false">INDEX(Calib!$C$71:$G$71,Perf_Batch!D$6)*Perf_Batch!D54/Perf_Batch_Prod!T50</f>
        <v>241.778007200547</v>
      </c>
      <c r="U55" s="62" t="n">
        <f aca="false">INDEX(Calib!$C$71:$G$71,Perf_Batch!E$6)*Perf_Batch!E54/Perf_Batch_Prod!U50</f>
        <v>241.778007200547</v>
      </c>
      <c r="V55" s="62" t="n">
        <f aca="false">INDEX(Calib!$C$71:$G$71,Perf_Batch!F$6)*Perf_Batch!F54/Perf_Batch_Prod!V50</f>
        <v>161.185338133698</v>
      </c>
      <c r="W55" s="62" t="n">
        <f aca="false">INDEX(Calib!$C$71:$G$71,Perf_Batch!G$6)*Perf_Batch!G54/Perf_Batch_Prod!W50</f>
        <v>161.185338133698</v>
      </c>
      <c r="X55" s="62" t="n">
        <f aca="false">INDEX(Calib!$C$71:$G$71,Perf_Batch!H$6)*Perf_Batch!H54/Perf_Batch_Prod!X50</f>
        <v>161.185338133698</v>
      </c>
      <c r="Y55" s="62" t="n">
        <f aca="false">INDEX(Calib!$C$71:$G$71,Perf_Batch!I$6)*Perf_Batch!I54/Perf_Batch_Prod!Y50</f>
        <v>161.185338133698</v>
      </c>
      <c r="Z55" s="62" t="n">
        <f aca="false">INDEX(Calib!$C$71:$G$71,Perf_Batch!J$6)*Perf_Batch!J54/Perf_Batch_Prod!Z50</f>
        <v>161.185338133698</v>
      </c>
      <c r="AA55" s="62" t="n">
        <f aca="false">INDEX(Calib!$C$71:$G$71,Perf_Batch!K$6)*Perf_Batch!K54/Perf_Batch_Prod!AA50</f>
        <v>161.185338133698</v>
      </c>
      <c r="AB55" s="62" t="n">
        <f aca="false">INDEX(Calib!$C$71:$G$71,Perf_Batch!L$6)*Perf_Batch!L54/Perf_Batch_Prod!AB50</f>
        <v>161.185338133698</v>
      </c>
      <c r="AC55" s="62" t="n">
        <f aca="false">INDEX(Calib!$C$71:$G$71,Perf_Batch!M$6)*Perf_Batch!M54/Perf_Batch_Prod!AC50</f>
        <v>161.185338133698</v>
      </c>
      <c r="AD55" s="62" t="n">
        <f aca="false">INDEX(Calib!$C$71:$G$71,Perf_Batch!N$6)*Perf_Batch!N54/Perf_Batch_Prod!AD50</f>
        <v>161.185338133698</v>
      </c>
      <c r="AE55" s="62" t="n">
        <f aca="false">INDEX(Calib!$C$71:$G$71,Perf_Batch!O$6)*Perf_Batch!O54/Perf_Batch_Prod!AE50</f>
        <v>161.185338133698</v>
      </c>
      <c r="AF55" s="62" t="n">
        <f aca="false">INDEX(Calib!$C$71:$G$71,Perf_Batch!P$6)*Perf_Batch!P54/Perf_Batch_Prod!AF50</f>
        <v>161.185338133698</v>
      </c>
      <c r="AG55" s="62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1" t="s">
        <v>774</v>
      </c>
      <c r="B75" s="58" t="s">
        <v>372</v>
      </c>
      <c r="C75" s="62" t="n">
        <f aca="false">Perf_Batch_Prod!C51*Perf_Batch!C14*1000000000000000/(Perf_Batch!C67*1000000000)</f>
        <v>7806.46039342041</v>
      </c>
      <c r="D75" s="62" t="n">
        <f aca="false">Perf_Batch_Prod!D51*Perf_Batch!D14*1000000000000000/(Perf_Batch!D67*1000000000)</f>
        <v>1917.47004923249</v>
      </c>
      <c r="E75" s="62" t="n">
        <f aca="false">Perf_Batch_Prod!E51*Perf_Batch!E14*1000000000000000/(Perf_Batch!E67*1000000000)</f>
        <v>630.069577369609</v>
      </c>
      <c r="F75" s="62" t="n">
        <f aca="false">Perf_Batch_Prod!F51*Perf_Batch!F14*1000000000000000/(Perf_Batch!F67*1000000000)</f>
        <v>78932.8654542003</v>
      </c>
      <c r="G75" s="62" t="n">
        <f aca="false">Perf_Batch_Prod!G51*Perf_Batch!G14*1000000000000000/(Perf_Batch!G67*1000000000)</f>
        <v>19387.9681418856</v>
      </c>
      <c r="H75" s="62" t="n">
        <f aca="false">Perf_Batch_Prod!H51*Perf_Batch!H14*1000000000000000/(Perf_Batch!H67*1000000000)</f>
        <v>6370.77429089595</v>
      </c>
      <c r="I75" s="62" t="n">
        <f aca="false">Perf_Batch_Prod!I51*Perf_Batch!I14*1000000000000000/(Perf_Batch!I67*1000000000)</f>
        <v>118399.2981813</v>
      </c>
      <c r="J75" s="62" t="n">
        <f aca="false">Perf_Batch_Prod!J51*Perf_Batch!J14*1000000000000000/(Perf_Batch!J67*1000000000)</f>
        <v>29081.9522128284</v>
      </c>
      <c r="K75" s="62" t="n">
        <f aca="false">Perf_Batch_Prod!K51*Perf_Batch!K14*1000000000000000/(Perf_Batch!K67*1000000000)</f>
        <v>9556.16143634392</v>
      </c>
      <c r="L75" s="62" t="n">
        <f aca="false">Perf_Batch_Prod!L51*Perf_Batch!L14*1000000000000000/(Perf_Batch!L67*1000000000)</f>
        <v>276265.029089701</v>
      </c>
      <c r="M75" s="62" t="n">
        <f aca="false">Perf_Batch_Prod!M51*Perf_Batch!M14*1000000000000000/(Perf_Batch!M67*1000000000)</f>
        <v>67857.8884965997</v>
      </c>
      <c r="N75" s="62" t="n">
        <f aca="false">Perf_Batch_Prod!N51*Perf_Batch!N14*1000000000000000/(Perf_Batch!N67*1000000000)</f>
        <v>22297.7100181358</v>
      </c>
      <c r="O75" s="62" t="n">
        <f aca="false">Perf_Batch_Prod!O51*Perf_Batch!O14*1000000000000000/(Perf_Batch!O67*1000000000)</f>
        <v>552530.058179402</v>
      </c>
      <c r="P75" s="62" t="n">
        <f aca="false">Perf_Batch_Prod!P51*Perf_Batch!P14*1000000000000000/(Perf_Batch!P67*1000000000)</f>
        <v>135715.776993199</v>
      </c>
      <c r="Q75" s="62" t="n">
        <f aca="false">Perf_Batch_Prod!Q51*Perf_Batch!Q14*1000000000000000/(Perf_Batch!Q67*1000000000)</f>
        <v>44595.4200362716</v>
      </c>
      <c r="S75" s="62" t="n">
        <f aca="false">Perf_Batch_Prod!S51*Perf_Batch!C14*1000000000000000/(Perf_Batch!C67*1000000000)</f>
        <v>9184.07105108283</v>
      </c>
      <c r="T75" s="62" t="n">
        <f aca="false">Perf_Batch_Prod!T51*Perf_Batch!D14*1000000000000000/(Perf_Batch!D67*1000000000)</f>
        <v>2255.8471167441</v>
      </c>
      <c r="U75" s="62" t="n">
        <f aca="false">Perf_Batch_Prod!U51*Perf_Batch!E14*1000000000000000/(Perf_Batch!E67*1000000000)</f>
        <v>741.258326317187</v>
      </c>
      <c r="V75" s="62" t="n">
        <f aca="false">Perf_Batch_Prod!V51*Perf_Batch!F14*1000000000000000/(Perf_Batch!F67*1000000000)</f>
        <v>92862.1946520003</v>
      </c>
      <c r="W75" s="62" t="n">
        <f aca="false">Perf_Batch_Prod!W51*Perf_Batch!G14*1000000000000000/(Perf_Batch!G67*1000000000)</f>
        <v>22809.3742845713</v>
      </c>
      <c r="X75" s="62" t="n">
        <f aca="false">Perf_Batch_Prod!X51*Perf_Batch!H14*1000000000000000/(Perf_Batch!H67*1000000000)</f>
        <v>7495.02857752464</v>
      </c>
      <c r="Y75" s="62" t="n">
        <f aca="false">Perf_Batch_Prod!Y51*Perf_Batch!I14*1000000000000000/(Perf_Batch!I67*1000000000)</f>
        <v>139293.291978</v>
      </c>
      <c r="Z75" s="62" t="n">
        <f aca="false">Perf_Batch_Prod!Z51*Perf_Batch!J14*1000000000000000/(Perf_Batch!J67*1000000000)</f>
        <v>34214.061426857</v>
      </c>
      <c r="AA75" s="62" t="n">
        <f aca="false">Perf_Batch_Prod!AA51*Perf_Batch!K14*1000000000000000/(Perf_Batch!K67*1000000000)</f>
        <v>11242.542866287</v>
      </c>
      <c r="AB75" s="62" t="n">
        <f aca="false">Perf_Batch_Prod!AB51*Perf_Batch!L14*1000000000000000/(Perf_Batch!L67*1000000000)</f>
        <v>325017.681282001</v>
      </c>
      <c r="AC75" s="62" t="n">
        <f aca="false">Perf_Batch_Prod!AC51*Perf_Batch!M14*1000000000000000/(Perf_Batch!M67*1000000000)</f>
        <v>79832.8099959996</v>
      </c>
      <c r="AD75" s="62" t="n">
        <f aca="false">Perf_Batch_Prod!AD51*Perf_Batch!N14*1000000000000000/(Perf_Batch!N67*1000000000)</f>
        <v>26232.6000213363</v>
      </c>
      <c r="AE75" s="62" t="n">
        <f aca="false">Perf_Batch_Prod!AE51*Perf_Batch!O14*1000000000000000/(Perf_Batch!O67*1000000000)</f>
        <v>650035.362564002</v>
      </c>
      <c r="AF75" s="62" t="n">
        <f aca="false">Perf_Batch_Prod!AF51*Perf_Batch!P14*1000000000000000/(Perf_Batch!P67*1000000000)</f>
        <v>159665.619991999</v>
      </c>
      <c r="AG75" s="62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1" t="s">
        <v>775</v>
      </c>
      <c r="B76" s="58" t="s">
        <v>375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1" t="s">
        <v>776</v>
      </c>
      <c r="B77" s="73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0" t="s">
        <v>778</v>
      </c>
      <c r="B79" s="58" t="s">
        <v>504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0" t="s">
        <v>779</v>
      </c>
      <c r="B80" s="58" t="s">
        <v>504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0.509574612342459</v>
      </c>
      <c r="G80" s="96" t="n">
        <f aca="false">(Perf_Batch!G47+1)*Perf_Batch!G65/(Perf_Batch!G14*Perf_Batch_Prod!G53)/1000</f>
        <v>1.75457642036709</v>
      </c>
      <c r="H80" s="96" t="n">
        <f aca="false">(Perf_Batch!H47+1)*Perf_Batch!H65/(Perf_Batch!H14*Perf_Batch_Prod!H53)/1000</f>
        <v>6.85792408009707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0.43313842049109</v>
      </c>
      <c r="W80" s="96" t="n">
        <f aca="false">(Perf_Batch!G47+1)*Perf_Batch!G65/(Perf_Batch!G14*Perf_Batch_Prod!W53)/1000</f>
        <v>1.49138995731203</v>
      </c>
      <c r="X80" s="96" t="n">
        <f aca="false">(Perf_Batch!H47+1)*Perf_Batch!H65/(Perf_Batch!H14*Perf_Batch_Prod!X53)/1000</f>
        <v>5.82923546808251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0" t="s">
        <v>782</v>
      </c>
      <c r="B83" s="58" t="s">
        <v>504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0.509574612342459</v>
      </c>
      <c r="G83" s="96" t="n">
        <f aca="false">MAX(Perf_Batch_Prod!G80,Perf_Batch!G81,Perf_Batch!G82)</f>
        <v>1.75457642036709</v>
      </c>
      <c r="H83" s="96" t="n">
        <f aca="false">MAX(Perf_Batch_Prod!H80,Perf_Batch!H81,Perf_Batch!H82)</f>
        <v>6.85792408009707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0.43313842049109</v>
      </c>
      <c r="W83" s="96" t="n">
        <f aca="false">MAX(Perf_Batch_Prod!W80,Perf_Batch!G81,Perf_Batch!G82)</f>
        <v>1.49138995731203</v>
      </c>
      <c r="X83" s="96" t="n">
        <f aca="false">MAX(Perf_Batch_Prod!X80,Perf_Batch!H81,Perf_Batch!H82)</f>
        <v>5.82923546808251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1" t="s">
        <v>784</v>
      </c>
      <c r="B85" s="73" t="s">
        <v>2361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228.893657766253</v>
      </c>
      <c r="G85" s="98" t="n">
        <f aca="false">(1000*Perf_Batch!G49/Perf_Batch!G41-Perf_Batch_Prod!G79)/Perf_Batch_Prod!G83</f>
        <v>61.8427897296822</v>
      </c>
      <c r="H85" s="98" t="n">
        <f aca="false">(1000*Perf_Batch!H49/Perf_Batch!H41-Perf_Batch_Prod!H79)/Perf_Batch_Prod!H83</f>
        <v>13.9809826121038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272.307505014644</v>
      </c>
      <c r="W85" s="98" t="n">
        <f aca="false">(1000*Perf_Batch!G49/Perf_Batch!G41-Perf_Batch_Prod!W79)/Perf_Batch_Prod!W83</f>
        <v>73.9768604853229</v>
      </c>
      <c r="X85" s="98" t="n">
        <f aca="false">(1000*Perf_Batch!H49/Perf_Batch!H41-Perf_Batch_Prod!X79)/Perf_Batch_Prod!X83</f>
        <v>16.9508160062901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0" t="s">
        <v>786</v>
      </c>
      <c r="B87" s="73" t="s">
        <v>2361</v>
      </c>
      <c r="C87" s="162" t="n">
        <f aca="false">MAX(0,MIN(Perf_Batch_Prod!C85,Perf_Batch!C86))</f>
        <v>51.5671552336869</v>
      </c>
      <c r="D87" s="162" t="n">
        <f aca="false">MAX(0,MIN(Perf_Batch_Prod!D85,Perf_Batch!D86))</f>
        <v>13.2710816848368</v>
      </c>
      <c r="E87" s="162" t="n">
        <f aca="false">MAX(0,MIN(Perf_Batch_Prod!E85,Perf_Batch!E86))</f>
        <v>2.94840744221991</v>
      </c>
      <c r="F87" s="162" t="n">
        <f aca="false">MAX(0,MIN(Perf_Batch_Prod!F85,Perf_Batch!F86))</f>
        <v>228.893657766253</v>
      </c>
      <c r="G87" s="162" t="n">
        <f aca="false">MAX(0,MIN(Perf_Batch_Prod!G85,Perf_Batch!G86))</f>
        <v>61.8427897296822</v>
      </c>
      <c r="H87" s="162" t="n">
        <f aca="false">MAX(0,MIN(Perf_Batch_Prod!H85,Perf_Batch!H86))</f>
        <v>13.9809826121038</v>
      </c>
      <c r="I87" s="162" t="n">
        <f aca="false">MAX(0,MIN(Perf_Batch_Prod!I85,Perf_Batch!I86))</f>
        <v>343.34048664938</v>
      </c>
      <c r="J87" s="162" t="n">
        <f aca="false">MAX(0,MIN(Perf_Batch_Prod!J85,Perf_Batch!J86))</f>
        <v>92.7641845945234</v>
      </c>
      <c r="K87" s="162" t="n">
        <f aca="false">MAX(0,MIN(Perf_Batch_Prod!K85,Perf_Batch!K86))</f>
        <v>20.1889417884203</v>
      </c>
      <c r="L87" s="162" t="n">
        <f aca="false">MAX(0,MIN(Perf_Batch_Prod!L85,Perf_Batch!L86))</f>
        <v>605.070161198981</v>
      </c>
      <c r="M87" s="162" t="n">
        <f aca="false">MAX(0,MIN(Perf_Batch_Prod!M85,Perf_Batch!M86))</f>
        <v>168.055171343245</v>
      </c>
      <c r="N87" s="162" t="n">
        <f aca="false">MAX(0,MIN(Perf_Batch_Prod!N85,Perf_Batch!N86))</f>
        <v>38.9393642588889</v>
      </c>
      <c r="O87" s="162" t="n">
        <f aca="false">MAX(0,MIN(Perf_Batch_Prod!O85,Perf_Batch!O86))</f>
        <v>1616.58310875328</v>
      </c>
      <c r="P87" s="162" t="n">
        <f aca="false">MAX(0,MIN(Perf_Batch_Prod!P85,Perf_Batch!P86))</f>
        <v>452.600916401853</v>
      </c>
      <c r="Q87" s="162" t="n">
        <f aca="false">MAX(0,MIN(Perf_Batch_Prod!Q85,Perf_Batch!Q86))</f>
        <v>106.664376764942</v>
      </c>
      <c r="S87" s="162" t="n">
        <f aca="false">MAX(0,MIN(Perf_Batch_Prod!S85,Perf_Batch!C86))</f>
        <v>61.743328217719</v>
      </c>
      <c r="T87" s="162" t="n">
        <f aca="false">MAX(0,MIN(Perf_Batch_Prod!T85,Perf_Batch!D86))</f>
        <v>16.0478526859987</v>
      </c>
      <c r="U87" s="162" t="n">
        <f aca="false">MAX(0,MIN(Perf_Batch_Prod!U85,Perf_Batch!E86))</f>
        <v>3.6477512261563</v>
      </c>
      <c r="V87" s="162" t="n">
        <f aca="false">MAX(0,MIN(Perf_Batch_Prod!V85,Perf_Batch!F86))</f>
        <v>272.307505014644</v>
      </c>
      <c r="W87" s="162" t="n">
        <f aca="false">MAX(0,MIN(Perf_Batch_Prod!W85,Perf_Batch!G86))</f>
        <v>73.9768604853229</v>
      </c>
      <c r="X87" s="162" t="n">
        <f aca="false">MAX(0,MIN(Perf_Batch_Prod!X85,Perf_Batch!H86))</f>
        <v>16.9508160062901</v>
      </c>
      <c r="Y87" s="162" t="n">
        <f aca="false">MAX(0,MIN(Perf_Batch_Prod!Y85,Perf_Batch!I86))</f>
        <v>408.461257521966</v>
      </c>
      <c r="Z87" s="162" t="n">
        <f aca="false">MAX(0,MIN(Perf_Batch_Prod!Z85,Perf_Batch!J86))</f>
        <v>110.965290727984</v>
      </c>
      <c r="AA87" s="162" t="n">
        <f aca="false">MAX(0,MIN(Perf_Batch_Prod!AA85,Perf_Batch!K86))</f>
        <v>24.5055979744523</v>
      </c>
      <c r="AB87" s="162" t="n">
        <f aca="false">MAX(0,MIN(Perf_Batch_Prod!AB85,Perf_Batch!L86))</f>
        <v>719.7769766194</v>
      </c>
      <c r="AC87" s="162" t="n">
        <f aca="false">MAX(0,MIN(Perf_Batch_Prod!AC85,Perf_Batch!M86))</f>
        <v>200.916139130242</v>
      </c>
      <c r="AD87" s="162" t="n">
        <f aca="false">MAX(0,MIN(Perf_Batch_Prod!AD85,Perf_Batch!N86))</f>
        <v>47.1303448425309</v>
      </c>
      <c r="AE87" s="162" t="n">
        <f aca="false">MAX(0,MIN(Perf_Batch_Prod!AE85,Perf_Batch!O86))</f>
        <v>1923.00842261957</v>
      </c>
      <c r="AF87" s="162" t="n">
        <f aca="false">MAX(0,MIN(Perf_Batch_Prod!AF85,Perf_Batch!P86))</f>
        <v>541.016127272645</v>
      </c>
      <c r="AG87" s="162" t="n">
        <f aca="false">MAX(0,MIN(Perf_Batch_Prod!AG85,Perf_Batch!Q86))</f>
        <v>129.005710256048</v>
      </c>
    </row>
    <row r="88" customFormat="false" ht="15" hidden="false" customHeight="false" outlineLevel="0" collapsed="false">
      <c r="A88" s="61" t="s">
        <v>787</v>
      </c>
      <c r="B88" s="58" t="s">
        <v>372</v>
      </c>
      <c r="C88" s="167" t="n">
        <f aca="false">IF(Perf_Batch_Prod!C87&gt;0,Perf_Batch_Prod!C87*Perf_Batch!C49/((Perf_Batch_Prod!C79+Perf_Batch_Prod!C87*Perf_Batch_Prod!C83)/1000),0)</f>
        <v>1031.34310467374</v>
      </c>
      <c r="D88" s="167" t="n">
        <f aca="false">IF(Perf_Batch_Prod!D87&gt;0,Perf_Batch_Prod!D87*Perf_Batch!D49/((Perf_Batch_Prod!D79+Perf_Batch_Prod!D87*Perf_Batch_Prod!D83)/1000),0)</f>
        <v>265.421633696737</v>
      </c>
      <c r="E88" s="167" t="n">
        <f aca="false">IF(Perf_Batch_Prod!E87&gt;0,Perf_Batch_Prod!E87*Perf_Batch!E49/((Perf_Batch_Prod!E79+Perf_Batch_Prod!E87*Perf_Batch_Prod!E83)/1000),0)</f>
        <v>58.9681488443982</v>
      </c>
      <c r="F88" s="167" t="n">
        <f aca="false">IF(Perf_Batch_Prod!F87&gt;0,Perf_Batch_Prod!F87*Perf_Batch!F49/((Perf_Batch_Prod!F79+Perf_Batch_Prod!F87*Perf_Batch_Prod!F83)/1000),0)</f>
        <v>4577.87315532506</v>
      </c>
      <c r="G88" s="167" t="n">
        <f aca="false">IF(Perf_Batch_Prod!G87&gt;0,Perf_Batch_Prod!G87*Perf_Batch!G49/((Perf_Batch_Prod!G79+Perf_Batch_Prod!G87*Perf_Batch_Prod!G83)/1000),0)</f>
        <v>1236.85579459364</v>
      </c>
      <c r="H88" s="167" t="n">
        <f aca="false">IF(Perf_Batch_Prod!H87&gt;0,Perf_Batch_Prod!H87*Perf_Batch!H49/((Perf_Batch_Prod!H79+Perf_Batch_Prod!H87*Perf_Batch_Prod!H83)/1000),0)</f>
        <v>279.619652242076</v>
      </c>
      <c r="I88" s="167" t="n">
        <f aca="false">IF(Perf_Batch_Prod!I87&gt;0,Perf_Batch_Prod!I87*Perf_Batch!I49/((Perf_Batch_Prod!I79+Perf_Batch_Prod!I87*Perf_Batch_Prod!I83)/1000),0)</f>
        <v>6866.8097329876</v>
      </c>
      <c r="J88" s="167" t="n">
        <f aca="false">IF(Perf_Batch_Prod!J87&gt;0,Perf_Batch_Prod!J87*Perf_Batch!J49/((Perf_Batch_Prod!J79+Perf_Batch_Prod!J87*Perf_Batch_Prod!J83)/1000),0)</f>
        <v>1855.28369189047</v>
      </c>
      <c r="K88" s="167" t="n">
        <f aca="false">IF(Perf_Batch_Prod!K87&gt;0,Perf_Batch_Prod!K87*Perf_Batch!K49/((Perf_Batch_Prod!K79+Perf_Batch_Prod!K87*Perf_Batch_Prod!K83)/1000),0)</f>
        <v>403.778835768406</v>
      </c>
      <c r="L88" s="167" t="n">
        <f aca="false">IF(Perf_Batch_Prod!L87&gt;0,Perf_Batch_Prod!L87*Perf_Batch!L49/((Perf_Batch_Prod!L79+Perf_Batch_Prod!L87*Perf_Batch_Prod!L83)/1000),0)</f>
        <v>12101.4032239796</v>
      </c>
      <c r="M88" s="167" t="n">
        <f aca="false">IF(Perf_Batch_Prod!M87&gt;0,Perf_Batch_Prod!M87*Perf_Batch!M49/((Perf_Batch_Prod!M79+Perf_Batch_Prod!M87*Perf_Batch_Prod!M83)/1000),0)</f>
        <v>3361.1034268649</v>
      </c>
      <c r="N88" s="167" t="n">
        <f aca="false">IF(Perf_Batch_Prod!N87&gt;0,Perf_Batch_Prod!N87*Perf_Batch!N49/((Perf_Batch_Prod!N79+Perf_Batch_Prod!N87*Perf_Batch_Prod!N83)/1000),0)</f>
        <v>778.787285177779</v>
      </c>
      <c r="O88" s="167" t="n">
        <f aca="false">IF(Perf_Batch_Prod!O87&gt;0,Perf_Batch_Prod!O87*Perf_Batch!O49/((Perf_Batch_Prod!O79+Perf_Batch_Prod!O87*Perf_Batch_Prod!O83)/1000),0)</f>
        <v>32331.6621750656</v>
      </c>
      <c r="P88" s="167" t="n">
        <f aca="false">IF(Perf_Batch_Prod!P87&gt;0,Perf_Batch_Prod!P87*Perf_Batch!P49/((Perf_Batch_Prod!P79+Perf_Batch_Prod!P87*Perf_Batch_Prod!P83)/1000),0)</f>
        <v>9052.01832803705</v>
      </c>
      <c r="Q88" s="167" t="n">
        <f aca="false">IF(Perf_Batch_Prod!Q87&gt;0,Perf_Batch_Prod!Q87*Perf_Batch!Q49/((Perf_Batch_Prod!Q79+Perf_Batch_Prod!Q87*Perf_Batch_Prod!Q83)/1000),0)</f>
        <v>2133.28753529883</v>
      </c>
      <c r="S88" s="167" t="n">
        <f aca="false">IF(Perf_Batch_Prod!S87&gt;0,Perf_Batch_Prod!S87*Perf_Batch!C49/((Perf_Batch_Prod!S79+Perf_Batch_Prod!S87*Perf_Batch_Prod!S83)/1000),0)</f>
        <v>1234.86656435438</v>
      </c>
      <c r="T88" s="167" t="n">
        <f aca="false">IF(Perf_Batch_Prod!T87&gt;0,Perf_Batch_Prod!T87*Perf_Batch!D49/((Perf_Batch_Prod!T79+Perf_Batch_Prod!T87*Perf_Batch_Prod!T83)/1000),0)</f>
        <v>320.957053719974</v>
      </c>
      <c r="U88" s="167" t="n">
        <f aca="false">IF(Perf_Batch_Prod!U87&gt;0,Perf_Batch_Prod!U87*Perf_Batch!E49/((Perf_Batch_Prod!U79+Perf_Batch_Prod!U87*Perf_Batch_Prod!U83)/1000),0)</f>
        <v>72.9550245231261</v>
      </c>
      <c r="V88" s="167" t="n">
        <f aca="false">IF(Perf_Batch_Prod!V87&gt;0,Perf_Batch_Prod!V87*Perf_Batch!F49/((Perf_Batch_Prod!V79+Perf_Batch_Prod!V87*Perf_Batch_Prod!V83)/1000),0)</f>
        <v>5446.15010029288</v>
      </c>
      <c r="W88" s="167" t="n">
        <f aca="false">IF(Perf_Batch_Prod!W87&gt;0,Perf_Batch_Prod!W87*Perf_Batch!G49/((Perf_Batch_Prod!W79+Perf_Batch_Prod!W87*Perf_Batch_Prod!W83)/1000),0)</f>
        <v>1479.53720970646</v>
      </c>
      <c r="X88" s="167" t="n">
        <f aca="false">IF(Perf_Batch_Prod!X87&gt;0,Perf_Batch_Prod!X87*Perf_Batch!H49/((Perf_Batch_Prod!X79+Perf_Batch_Prod!X87*Perf_Batch_Prod!X83)/1000),0)</f>
        <v>339.016320125802</v>
      </c>
      <c r="Y88" s="167" t="n">
        <f aca="false">IF(Perf_Batch_Prod!Y87&gt;0,Perf_Batch_Prod!Y87*Perf_Batch!I49/((Perf_Batch_Prod!Y79+Perf_Batch_Prod!Y87*Perf_Batch_Prod!Y83)/1000),0)</f>
        <v>8169.22515043932</v>
      </c>
      <c r="Z88" s="167" t="n">
        <f aca="false">IF(Perf_Batch_Prod!Z87&gt;0,Perf_Batch_Prod!Z87*Perf_Batch!J49/((Perf_Batch_Prod!Z79+Perf_Batch_Prod!Z87*Perf_Batch_Prod!Z83)/1000),0)</f>
        <v>2219.30581455969</v>
      </c>
      <c r="AA88" s="167" t="n">
        <f aca="false">IF(Perf_Batch_Prod!AA87&gt;0,Perf_Batch_Prod!AA87*Perf_Batch!K49/((Perf_Batch_Prod!AA79+Perf_Batch_Prod!AA87*Perf_Batch_Prod!AA83)/1000),0)</f>
        <v>490.111959489046</v>
      </c>
      <c r="AB88" s="167" t="n">
        <f aca="false">IF(Perf_Batch_Prod!AB87&gt;0,Perf_Batch_Prod!AB87*Perf_Batch!L49/((Perf_Batch_Prod!AB79+Perf_Batch_Prod!AB87*Perf_Batch_Prod!AB83)/1000),0)</f>
        <v>14395.539532388</v>
      </c>
      <c r="AC88" s="167" t="n">
        <f aca="false">IF(Perf_Batch_Prod!AC87&gt;0,Perf_Batch_Prod!AC87*Perf_Batch!M49/((Perf_Batch_Prod!AC79+Perf_Batch_Prod!AC87*Perf_Batch_Prod!AC83)/1000),0)</f>
        <v>4018.32278260485</v>
      </c>
      <c r="AD88" s="167" t="n">
        <f aca="false">IF(Perf_Batch_Prod!AD87&gt;0,Perf_Batch_Prod!AD87*Perf_Batch!N49/((Perf_Batch_Prod!AD79+Perf_Batch_Prod!AD87*Perf_Batch_Prod!AD83)/1000),0)</f>
        <v>942.606896850618</v>
      </c>
      <c r="AE88" s="167" t="n">
        <f aca="false">IF(Perf_Batch_Prod!AE87&gt;0,Perf_Batch_Prod!AE87*Perf_Batch!O49/((Perf_Batch_Prod!AE79+Perf_Batch_Prod!AE87*Perf_Batch_Prod!AE83)/1000),0)</f>
        <v>38460.1684523914</v>
      </c>
      <c r="AF88" s="167" t="n">
        <f aca="false">IF(Perf_Batch_Prod!AF87&gt;0,Perf_Batch_Prod!AF87*Perf_Batch!P49/((Perf_Batch_Prod!AF79+Perf_Batch_Prod!AF87*Perf_Batch_Prod!AF83)/1000),0)</f>
        <v>10820.3225454529</v>
      </c>
      <c r="AG88" s="167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0" t="s">
        <v>802</v>
      </c>
      <c r="B101" s="58" t="s">
        <v>803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1" t="s">
        <v>805</v>
      </c>
      <c r="B103" s="58" t="s">
        <v>803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218.442050723223</v>
      </c>
      <c r="G103" s="98" t="n">
        <f aca="false">IF(ISNUMBER(Perf_Batch_Prod!G88),IF(Perf_Batch_Prod!G88&gt;0,IF(Perf_Batch_Prod!G77="是",1000000/Perf_Batch_Prod!G88,"TTFT 不可達"),"SLO 不可達"),"SLO 不可達")</f>
        <v>808.501689825966</v>
      </c>
      <c r="H103" s="98" t="n">
        <f aca="false">IF(ISNUMBER(Perf_Batch_Prod!H88),IF(Perf_Batch_Prod!H88&gt;0,IF(Perf_Batch_Prod!H77="是",1000000/Perf_Batch_Prod!H88,"TTFT 不可達"),"SLO 不可達"),"SLO 不可達")</f>
        <v>3576.28654488944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183.615945499964</v>
      </c>
      <c r="W103" s="98" t="n">
        <f aca="false">IF(ISNUMBER(Perf_Batch_Prod!W88),IF(Perf_Batch_Prod!W88&gt;0,IF(Perf_Batch_Prod!W77="是",1000000/Perf_Batch_Prod!W88,"TTFT 不可達"),"SLO 不可達"),"SLO 不可達")</f>
        <v>675.887022941722</v>
      </c>
      <c r="X103" s="98" t="n">
        <f aca="false">IF(ISNUMBER(Perf_Batch_Prod!X88),IF(Perf_Batch_Prod!X88&gt;0,IF(Perf_Batch_Prod!X77="是",1000000/Perf_Batch_Prod!X88,"TTFT 不可達"),"SLO 不可達"),"SLO 不可達")</f>
        <v>2949.71050251776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2365</v>
      </c>
    </row>
    <row r="2" customFormat="false" ht="15" hidden="false" customHeight="false" outlineLevel="0" collapsed="false">
      <c r="A2" s="73" t="s">
        <v>2366</v>
      </c>
    </row>
    <row r="3" customFormat="false" ht="15" hidden="false" customHeight="false" outlineLevel="0" collapsed="false">
      <c r="S3" s="59" t="s">
        <v>2360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89" t="n">
        <f aca="false">Training!C6</f>
        <v>1</v>
      </c>
      <c r="D6" s="89" t="n">
        <f aca="false">Training!D6</f>
        <v>1</v>
      </c>
      <c r="E6" s="89" t="n">
        <f aca="false">Training!E6</f>
        <v>1</v>
      </c>
      <c r="F6" s="89" t="n">
        <f aca="false">Training!F6</f>
        <v>2</v>
      </c>
      <c r="G6" s="89" t="n">
        <f aca="false">Training!G6</f>
        <v>2</v>
      </c>
      <c r="H6" s="89" t="n">
        <f aca="false">Training!H6</f>
        <v>2</v>
      </c>
      <c r="I6" s="89" t="n">
        <f aca="false">Training!I6</f>
        <v>3</v>
      </c>
      <c r="J6" s="89" t="n">
        <f aca="false">Training!J6</f>
        <v>3</v>
      </c>
      <c r="K6" s="89" t="n">
        <f aca="false">Training!K6</f>
        <v>3</v>
      </c>
      <c r="L6" s="89" t="n">
        <f aca="false">Training!L6</f>
        <v>4</v>
      </c>
      <c r="M6" s="89" t="n">
        <f aca="false">Training!M6</f>
        <v>4</v>
      </c>
      <c r="N6" s="89" t="n">
        <f aca="false">Training!N6</f>
        <v>4</v>
      </c>
      <c r="O6" s="89" t="n">
        <f aca="false">Training!O6</f>
        <v>5</v>
      </c>
      <c r="P6" s="89" t="n">
        <f aca="false">Training!P6</f>
        <v>5</v>
      </c>
      <c r="Q6" s="89" t="n">
        <f aca="false">Training!Q6</f>
        <v>5</v>
      </c>
      <c r="S6" s="89" t="n">
        <f aca="false">Training!C6</f>
        <v>1</v>
      </c>
      <c r="T6" s="89" t="n">
        <f aca="false">Training!D6</f>
        <v>1</v>
      </c>
      <c r="U6" s="89" t="n">
        <f aca="false">Training!E6</f>
        <v>1</v>
      </c>
      <c r="V6" s="89" t="n">
        <f aca="false">Training!F6</f>
        <v>2</v>
      </c>
      <c r="W6" s="89" t="n">
        <f aca="false">Training!G6</f>
        <v>2</v>
      </c>
      <c r="X6" s="89" t="n">
        <f aca="false">Training!H6</f>
        <v>2</v>
      </c>
      <c r="Y6" s="89" t="n">
        <f aca="false">Training!I6</f>
        <v>3</v>
      </c>
      <c r="Z6" s="89" t="n">
        <f aca="false">Training!J6</f>
        <v>3</v>
      </c>
      <c r="AA6" s="89" t="n">
        <f aca="false">Training!K6</f>
        <v>3</v>
      </c>
      <c r="AB6" s="89" t="n">
        <f aca="false">Training!L6</f>
        <v>4</v>
      </c>
      <c r="AC6" s="89" t="n">
        <f aca="false">Training!M6</f>
        <v>4</v>
      </c>
      <c r="AD6" s="89" t="n">
        <f aca="false">Training!N6</f>
        <v>4</v>
      </c>
      <c r="AE6" s="89" t="n">
        <f aca="false">Training!O6</f>
        <v>5</v>
      </c>
      <c r="AF6" s="89" t="n">
        <f aca="false">Training!P6</f>
        <v>5</v>
      </c>
      <c r="AG6" s="89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89" t="n">
        <f aca="false">Training!C7</f>
        <v>1</v>
      </c>
      <c r="D7" s="89" t="n">
        <f aca="false">Training!D7</f>
        <v>2</v>
      </c>
      <c r="E7" s="89" t="n">
        <f aca="false">Training!E7</f>
        <v>3</v>
      </c>
      <c r="F7" s="89" t="n">
        <f aca="false">Training!F7</f>
        <v>1</v>
      </c>
      <c r="G7" s="89" t="n">
        <f aca="false">Training!G7</f>
        <v>2</v>
      </c>
      <c r="H7" s="89" t="n">
        <f aca="false">Training!H7</f>
        <v>3</v>
      </c>
      <c r="I7" s="89" t="n">
        <f aca="false">Training!I7</f>
        <v>1</v>
      </c>
      <c r="J7" s="89" t="n">
        <f aca="false">Training!J7</f>
        <v>2</v>
      </c>
      <c r="K7" s="89" t="n">
        <f aca="false">Training!K7</f>
        <v>3</v>
      </c>
      <c r="L7" s="89" t="n">
        <f aca="false">Training!L7</f>
        <v>1</v>
      </c>
      <c r="M7" s="89" t="n">
        <f aca="false">Training!M7</f>
        <v>2</v>
      </c>
      <c r="N7" s="89" t="n">
        <f aca="false">Training!N7</f>
        <v>3</v>
      </c>
      <c r="O7" s="89" t="n">
        <f aca="false">Training!O7</f>
        <v>1</v>
      </c>
      <c r="P7" s="89" t="n">
        <f aca="false">Training!P7</f>
        <v>2</v>
      </c>
      <c r="Q7" s="89" t="n">
        <f aca="false">Training!Q7</f>
        <v>3</v>
      </c>
      <c r="S7" s="89" t="n">
        <f aca="false">Training!C7</f>
        <v>1</v>
      </c>
      <c r="T7" s="89" t="n">
        <f aca="false">Training!D7</f>
        <v>2</v>
      </c>
      <c r="U7" s="89" t="n">
        <f aca="false">Training!E7</f>
        <v>3</v>
      </c>
      <c r="V7" s="89" t="n">
        <f aca="false">Training!F7</f>
        <v>1</v>
      </c>
      <c r="W7" s="89" t="n">
        <f aca="false">Training!G7</f>
        <v>2</v>
      </c>
      <c r="X7" s="89" t="n">
        <f aca="false">Training!H7</f>
        <v>3</v>
      </c>
      <c r="Y7" s="89" t="n">
        <f aca="false">Training!I7</f>
        <v>1</v>
      </c>
      <c r="Z7" s="89" t="n">
        <f aca="false">Training!J7</f>
        <v>2</v>
      </c>
      <c r="AA7" s="89" t="n">
        <f aca="false">Training!K7</f>
        <v>3</v>
      </c>
      <c r="AB7" s="89" t="n">
        <f aca="false">Training!L7</f>
        <v>1</v>
      </c>
      <c r="AC7" s="89" t="n">
        <f aca="false">Training!M7</f>
        <v>2</v>
      </c>
      <c r="AD7" s="89" t="n">
        <f aca="false">Training!N7</f>
        <v>3</v>
      </c>
      <c r="AE7" s="89" t="n">
        <f aca="false">Training!O7</f>
        <v>1</v>
      </c>
      <c r="AF7" s="89" t="n">
        <f aca="false">Training!P7</f>
        <v>2</v>
      </c>
      <c r="AG7" s="89" t="n">
        <f aca="false">Training!Q7</f>
        <v>3</v>
      </c>
    </row>
    <row r="59" customFormat="false" ht="15" hidden="false" customHeight="false" outlineLevel="0" collapsed="false">
      <c r="A59" s="61" t="s">
        <v>1040</v>
      </c>
      <c r="B59" s="58" t="s">
        <v>803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218.442050723223</v>
      </c>
      <c r="G59" s="98" t="n">
        <f aca="false">INDEX(Perf_Batch_Prod!$C$103:$Q$103,3*(Training!G$6-1)+Training!G$7)</f>
        <v>808.501689825966</v>
      </c>
      <c r="H59" s="98" t="n">
        <f aca="false">INDEX(Perf_Batch_Prod!$C$103:$Q$103,3*(Training!H$6-1)+Training!H$7)</f>
        <v>3576.28654488944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183.615945499964</v>
      </c>
      <c r="W59" s="98" t="n">
        <f aca="false">INDEX(Perf_Batch_Prod!$S$103:$AG$103,3*(Training!G$6-1)+Training!G$7)</f>
        <v>675.887022941722</v>
      </c>
      <c r="X59" s="98" t="n">
        <f aca="false">INDEX(Perf_Batch_Prod!$S$103:$AG$103,3*(Training!H$6-1)+Training!H$7)</f>
        <v>2949.71050251776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1" t="s">
        <v>1041</v>
      </c>
      <c r="B60" s="58" t="s">
        <v>803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1" t="s">
        <v>1046</v>
      </c>
      <c r="B65" s="58" t="s">
        <v>1023</v>
      </c>
      <c r="C65" s="62" t="n">
        <f aca="false">IF(AND(ISNUMBER(Training_Prod!C59)),(Training!C53*1000000*Training_Prod!C59+Training!C58*1000000*Training_Prod!C60)/3600/Training!C64,"SLO 不可達")</f>
        <v>750890.705408627</v>
      </c>
      <c r="D65" s="62" t="n">
        <f aca="false">IF(AND(ISNUMBER(Training_Prod!D59)),(Training!D53*1000000*Training_Prod!D59+Training!D58*1000000*Training_Prod!D60)/3600/Training!D64,"SLO 不可達")</f>
        <v>2918292.64428566</v>
      </c>
      <c r="E65" s="62" t="n">
        <f aca="false">IF(AND(ISNUMBER(Training_Prod!E59)),(Training!E53*1000000*Training_Prod!E59+Training!E58*1000000*Training_Prod!E60)/3600/Training!E64,"SLO 不可達")</f>
        <v>53358133.908391</v>
      </c>
      <c r="F65" s="62" t="n">
        <f aca="false">IF(AND(ISNUMBER(Training_Prod!F59)),(Training!F53*1000000*Training_Prod!F59+Training!F58*1000000*Training_Prod!F60)/3600/Training!F64,"SLO 不可達")</f>
        <v>168776.986279539</v>
      </c>
      <c r="G65" s="62" t="n">
        <f aca="false">IF(AND(ISNUMBER(Training_Prod!G59)),(Training!G53*1000000*Training_Prod!G59+Training!G58*1000000*Training_Prod!G60)/3600/Training!G64,"SLO 不可達")</f>
        <v>624793.429267639</v>
      </c>
      <c r="H65" s="62" t="n">
        <f aca="false">IF(AND(ISNUMBER(Training_Prod!H59)),(Training!H53*1000000*Training_Prod!H59+Training!H58*1000000*Training_Prod!H60)/3600/Training!H64,"SLO 不可達")</f>
        <v>11235111.3949011</v>
      </c>
      <c r="I65" s="62" t="n">
        <f aca="false">IF(AND(ISNUMBER(Training_Prod!I59)),(Training!I53*1000000*Training_Prod!I59+Training!I58*1000000*Training_Prod!I60)/3600/Training!I64,"SLO 不可達")</f>
        <v>112517.990853026</v>
      </c>
      <c r="J65" s="62" t="n">
        <f aca="false">IF(AND(ISNUMBER(Training_Prod!J59)),(Training!J53*1000000*Training_Prod!J59+Training!J58*1000000*Training_Prod!J60)/3600/Training!J64,"SLO 不可達")</f>
        <v>416528.952845093</v>
      </c>
      <c r="K65" s="62" t="n">
        <f aca="false">IF(AND(ISNUMBER(Training_Prod!K59)),(Training!K53*1000000*Training_Prod!K59+Training!K58*1000000*Training_Prod!K60)/3600/Training!K64,"SLO 不可達")</f>
        <v>7779995.13282406</v>
      </c>
      <c r="L65" s="62" t="n">
        <f aca="false">IF(AND(ISNUMBER(Training_Prod!L59)),(Training!L53*1000000*Training_Prod!L59+Training!L58*1000000*Training_Prod!L60)/3600/Training!L64,"SLO 不可達")</f>
        <v>63818.8431395411</v>
      </c>
      <c r="M65" s="62" t="n">
        <f aca="false">IF(AND(ISNUMBER(Training_Prod!M59)),(Training!M53*1000000*Training_Prod!M59+Training!M58*1000000*Training_Prod!M60)/3600/Training!M64,"SLO 不可達")</f>
        <v>229816.077047376</v>
      </c>
      <c r="N65" s="62" t="n">
        <f aca="false">IF(AND(ISNUMBER(Training_Prod!N59)),(Training!N53*1000000*Training_Prod!N59+Training!N58*1000000*Training_Prod!N60)/3600/Training!N64,"SLO 不可達")</f>
        <v>4032781.68015017</v>
      </c>
      <c r="O65" s="62" t="n">
        <f aca="false">IF(AND(ISNUMBER(Training_Prod!O59)),(Training!O53*1000000*Training_Prod!O59+Training!O58*1000000*Training_Prod!O60)/3600/Training!O64,"SLO 不可達")</f>
        <v>23897.6929125684</v>
      </c>
      <c r="P65" s="62" t="n">
        <f aca="false">IF(AND(ISNUMBER(Training_Prod!P59)),(Training!P53*1000000*Training_Prod!P59+Training!P58*1000000*Training_Prod!P60)/3600/Training!P64,"SLO 不可達")</f>
        <v>85378.6768285909</v>
      </c>
      <c r="Q65" s="62" t="n">
        <f aca="false">IF(AND(ISNUMBER(Training_Prod!Q59)),(Training!Q53*1000000*Training_Prod!Q59+Training!Q58*1000000*Training_Prod!Q60)/3600/Training!Q64,"SLO 不可達")</f>
        <v>1472818.22075535</v>
      </c>
      <c r="S65" s="62" t="n">
        <f aca="false">IF(AND(ISNUMBER(Training_Prod!S59)),(Training!C53*1000000*Training_Prod!S59+Training!C58*1000000*Training_Prod!S60)/3600/Training!C64,"SLO 不可達")</f>
        <v>627179.042802979</v>
      </c>
      <c r="T65" s="62" t="n">
        <f aca="false">IF(AND(ISNUMBER(Training_Prod!T59)),(Training!D53*1000000*Training_Prod!T59+Training!D58*1000000*Training_Prod!T60)/3600/Training!D64,"SLO 不可達")</f>
        <v>2413627.93869041</v>
      </c>
      <c r="U65" s="62" t="n">
        <f aca="false">IF(AND(ISNUMBER(Training_Prod!U59)),(Training!E53*1000000*Training_Prod!U59+Training!E58*1000000*Training_Prod!U60)/3600/Training!E64,"SLO 不可達")</f>
        <v>43134849.0717908</v>
      </c>
      <c r="V65" s="62" t="n">
        <f aca="false">IF(AND(ISNUMBER(Training_Prod!V59)),(Training!F53*1000000*Training_Prod!V59+Training!F58*1000000*Training_Prod!V60)/3600/Training!F64,"SLO 不可達")</f>
        <v>141871.836255624</v>
      </c>
      <c r="W65" s="62" t="n">
        <f aca="false">IF(AND(ISNUMBER(Training_Prod!W59)),(Training!G53*1000000*Training_Prod!W59+Training!G58*1000000*Training_Prod!W60)/3600/Training!G64,"SLO 不可達")</f>
        <v>522328.984927028</v>
      </c>
      <c r="X65" s="62" t="n">
        <f aca="false">IF(AND(ISNUMBER(Training_Prod!X59)),(Training!H53*1000000*Training_Prod!X59+Training!H58*1000000*Training_Prod!X60)/3600/Training!H64,"SLO 不可達")</f>
        <v>9267074.29934984</v>
      </c>
      <c r="Y65" s="62" t="n">
        <f aca="false">IF(AND(ISNUMBER(Training_Prod!Y59)),(Training!I53*1000000*Training_Prod!Y59+Training!I58*1000000*Training_Prod!Y60)/3600/Training!I64,"SLO 不可達")</f>
        <v>94581.224170416</v>
      </c>
      <c r="Z65" s="62" t="n">
        <f aca="false">IF(AND(ISNUMBER(Training_Prod!Z59)),(Training!J53*1000000*Training_Prod!Z59+Training!J58*1000000*Training_Prod!Z60)/3600/Training!J64,"SLO 不可達")</f>
        <v>348219.323284685</v>
      </c>
      <c r="AA65" s="62" t="n">
        <f aca="false">IF(AND(ISNUMBER(Training_Prod!AA59)),(Training!K53*1000000*Training_Prod!AA59+Training!K58*1000000*Training_Prod!AA60)/3600/Training!K64,"SLO 不可達")</f>
        <v>6409818.82271434</v>
      </c>
      <c r="AB65" s="62" t="n">
        <f aca="false">IF(AND(ISNUMBER(Training_Prod!AB59)),(Training!L53*1000000*Training_Prod!AB59+Training!L58*1000000*Training_Prod!AB60)/3600/Training!L64,"SLO 不可達")</f>
        <v>53649.2093802251</v>
      </c>
      <c r="AC65" s="62" t="n">
        <f aca="false">IF(AND(ISNUMBER(Training_Prod!AC59)),(Training!M53*1000000*Training_Prod!AC59+Training!M58*1000000*Training_Prod!AC60)/3600/Training!M64,"SLO 不可達")</f>
        <v>192233.176009909</v>
      </c>
      <c r="AD65" s="62" t="n">
        <f aca="false">IF(AND(ISNUMBER(Training_Prod!AD59)),(Training!N53*1000000*Training_Prod!AD59+Training!N58*1000000*Training_Prod!AD60)/3600/Training!N64,"SLO 不可達")</f>
        <v>3332012.23278618</v>
      </c>
      <c r="AE65" s="62" t="n">
        <f aca="false">IF(AND(ISNUMBER(Training_Prod!AE59)),(Training!O53*1000000*Training_Prod!AE59+Training!O58*1000000*Training_Prod!AE60)/3600/Training!O64,"SLO 不可達")</f>
        <v>20090.0787914024</v>
      </c>
      <c r="AF65" s="62" t="n">
        <f aca="false">IF(AND(ISNUMBER(Training_Prod!AF59)),(Training!P53*1000000*Training_Prod!AF59+Training!P58*1000000*Training_Prod!AF60)/3600/Training!P64,"SLO 不可達")</f>
        <v>71428.1057448491</v>
      </c>
      <c r="AG65" s="62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1" t="s">
        <v>1056</v>
      </c>
      <c r="B75" s="58" t="s">
        <v>1023</v>
      </c>
      <c r="C75" s="167" t="n">
        <f aca="false">IF(AND(ISNUMBER(Training_Prod!C65)),Training_Prod!C65+Training!C72+Training!C74,"SLO 不可達")</f>
        <v>1177914.87057968</v>
      </c>
      <c r="D75" s="167" t="n">
        <f aca="false">IF(AND(ISNUMBER(Training_Prod!D65)),Training_Prod!D65+Training!D72+Training!D74,"SLO 不可達")</f>
        <v>4387432.71000385</v>
      </c>
      <c r="E75" s="167" t="n">
        <f aca="false">IF(AND(ISNUMBER(Training_Prod!E65)),Training_Prod!E65+Training!E72+Training!E74,"SLO 不可達")</f>
        <v>74953595.3737775</v>
      </c>
      <c r="F75" s="167" t="n">
        <f aca="false">IF(AND(ISNUMBER(Training_Prod!F65)),Training_Prod!F65+Training!F72+Training!F74,"SLO 不可達")</f>
        <v>337793.15085424</v>
      </c>
      <c r="G75" s="167" t="n">
        <f aca="false">IF(AND(ISNUMBER(Training_Prod!G65)),Training_Prod!G65+Training!G72+Training!G74,"SLO 不可達")</f>
        <v>1206279.0672789</v>
      </c>
      <c r="H75" s="167" t="n">
        <f aca="false">IF(AND(ISNUMBER(Training_Prod!H65)),Training_Prod!H65+Training!H72+Training!H74,"SLO 不可達")</f>
        <v>19782595.0429011</v>
      </c>
      <c r="I75" s="167" t="n">
        <f aca="false">IF(AND(ISNUMBER(Training_Prod!I65)),Training_Prod!I65+Training!I72+Training!I74,"SLO 不可達")</f>
        <v>281534.155427727</v>
      </c>
      <c r="J75" s="167" t="n">
        <f aca="false">IF(AND(ISNUMBER(Training_Prod!J65)),Training_Prod!J65+Training!J72+Training!J74,"SLO 不可達")</f>
        <v>998014.590856352</v>
      </c>
      <c r="K75" s="167" t="n">
        <f aca="false">IF(AND(ISNUMBER(Training_Prod!K65)),Training_Prod!K65+Training!K72+Training!K74,"SLO 不可達")</f>
        <v>16327478.7808241</v>
      </c>
      <c r="L75" s="167" t="n">
        <f aca="false">IF(AND(ISNUMBER(Training_Prod!L65)),Training_Prod!L65+Training!L72+Training!L74,"SLO 不可達")</f>
        <v>117474.768401351</v>
      </c>
      <c r="M75" s="167" t="n">
        <f aca="false">IF(AND(ISNUMBER(Training_Prod!M65)),Training_Prod!M65+Training!M72+Training!M74,"SLO 不可達")</f>
        <v>414414.692289046</v>
      </c>
      <c r="N75" s="167" t="n">
        <f aca="false">IF(AND(ISNUMBER(Training_Prod!N65)),Training_Prod!N65+Training!N72+Training!N74,"SLO 不可達")</f>
        <v>6746268.55253112</v>
      </c>
      <c r="O75" s="167" t="n">
        <f aca="false">IF(AND(ISNUMBER(Training_Prod!O65)),Training_Prod!O65+Training!O72+Training!O74,"SLO 不可達")</f>
        <v>50725.6555434733</v>
      </c>
      <c r="P75" s="167" t="n">
        <f aca="false">IF(AND(ISNUMBER(Training_Prod!P65)),Training_Prod!P65+Training!P72+Training!P74,"SLO 不可達")</f>
        <v>177677.984449426</v>
      </c>
      <c r="Q75" s="167" t="n">
        <f aca="false">IF(AND(ISNUMBER(Training_Prod!Q65)),Training_Prod!Q65+Training!Q72+Training!Q74,"SLO 不可達")</f>
        <v>2829561.65694583</v>
      </c>
      <c r="S75" s="167" t="n">
        <f aca="false">IF(AND(ISNUMBER(Training_Prod!S65)),Training_Prod!S65+Training!C72+Training!C74,"SLO 不可達")</f>
        <v>1054203.20797403</v>
      </c>
      <c r="T75" s="167" t="n">
        <f aca="false">IF(AND(ISNUMBER(Training_Prod!T65)),Training_Prod!T65+Training!D72+Training!D74,"SLO 不可達")</f>
        <v>3882768.0044086</v>
      </c>
      <c r="U75" s="167" t="n">
        <f aca="false">IF(AND(ISNUMBER(Training_Prod!U65)),Training_Prod!U65+Training!E72+Training!E74,"SLO 不可達")</f>
        <v>64730310.5371774</v>
      </c>
      <c r="V75" s="167" t="n">
        <f aca="false">IF(AND(ISNUMBER(Training_Prod!V65)),Training_Prod!V65+Training!F72+Training!F74,"SLO 不可達")</f>
        <v>310888.000830325</v>
      </c>
      <c r="W75" s="167" t="n">
        <f aca="false">IF(AND(ISNUMBER(Training_Prod!W65)),Training_Prod!W65+Training!G72+Training!G74,"SLO 不可達")</f>
        <v>1103814.62293829</v>
      </c>
      <c r="X75" s="167" t="n">
        <f aca="false">IF(AND(ISNUMBER(Training_Prod!X65)),Training_Prod!X65+Training!H72+Training!H74,"SLO 不可達")</f>
        <v>17814557.9473498</v>
      </c>
      <c r="Y75" s="167" t="n">
        <f aca="false">IF(AND(ISNUMBER(Training_Prod!Y65)),Training_Prod!Y65+Training!I72+Training!I74,"SLO 不可達")</f>
        <v>263597.388745117</v>
      </c>
      <c r="Z75" s="167" t="n">
        <f aca="false">IF(AND(ISNUMBER(Training_Prod!Z65)),Training_Prod!Z65+Training!J72+Training!J74,"SLO 不可達")</f>
        <v>929704.961295945</v>
      </c>
      <c r="AA75" s="167" t="n">
        <f aca="false">IF(AND(ISNUMBER(Training_Prod!AA65)),Training_Prod!AA65+Training!K72+Training!K74,"SLO 不可達")</f>
        <v>14957302.4707143</v>
      </c>
      <c r="AB75" s="167" t="n">
        <f aca="false">IF(AND(ISNUMBER(Training_Prod!AB65)),Training_Prod!AB65+Training!L72+Training!L74,"SLO 不可達")</f>
        <v>107305.134642035</v>
      </c>
      <c r="AC75" s="167" t="n">
        <f aca="false">IF(AND(ISNUMBER(Training_Prod!AC65)),Training_Prod!AC65+Training!M72+Training!M74,"SLO 不可達")</f>
        <v>376831.791251579</v>
      </c>
      <c r="AD75" s="167" t="n">
        <f aca="false">IF(AND(ISNUMBER(Training_Prod!AD65)),Training_Prod!AD65+Training!N72+Training!N74,"SLO 不可達")</f>
        <v>6045499.10516714</v>
      </c>
      <c r="AE75" s="167" t="n">
        <f aca="false">IF(AND(ISNUMBER(Training_Prod!AE65)),Training_Prod!AE65+Training!O72+Training!O74,"SLO 不可達")</f>
        <v>46918.0414223073</v>
      </c>
      <c r="AF75" s="167" t="n">
        <f aca="false">IF(AND(ISNUMBER(Training_Prod!AF65)),Training_Prod!AF65+Training!P72+Training!P74,"SLO 不可達")</f>
        <v>163727.413365684</v>
      </c>
      <c r="AG75" s="167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0" t="s">
        <v>1065</v>
      </c>
      <c r="B84" s="58" t="s">
        <v>803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0" t="s">
        <v>1067</v>
      </c>
      <c r="B86" s="58" t="s">
        <v>1023</v>
      </c>
      <c r="C86" s="62" t="n">
        <f aca="false">IF(AND(ISNUMBER(Training_Prod!C59)),Training!C81*1000000*Training_Prod!C59/3600/Training!C64,"SLO 不可達")</f>
        <v>63373.1653685311</v>
      </c>
      <c r="D86" s="62" t="n">
        <f aca="false">IF(AND(ISNUMBER(Training_Prod!D59)),Training!D81*1000000*Training_Prod!D59/3600/Training!D64,"SLO 不可達")</f>
        <v>246247.73879156</v>
      </c>
      <c r="E86" s="62" t="n">
        <f aca="false">IF(AND(ISNUMBER(Training_Prod!E59)),Training!E81*1000000*Training_Prod!E59/3600/Training!E64,"SLO 不可達")</f>
        <v>1108386.11021434</v>
      </c>
      <c r="F86" s="62" t="n">
        <f aca="false">IF(AND(ISNUMBER(Training_Prod!F59)),Training!F81*1000000*Training_Prod!F59/3600/Training!F64,"SLO 不可達")</f>
        <v>14277.2582172041</v>
      </c>
      <c r="G86" s="62" t="n">
        <f aca="false">IF(AND(ISNUMBER(Training_Prod!G59)),Training!G81*1000000*Training_Prod!G59/3600/Training!G64,"SLO 不可達")</f>
        <v>52843.2477010436</v>
      </c>
      <c r="H86" s="62" t="n">
        <f aca="false">IF(AND(ISNUMBER(Training_Prod!H59)),Training!H81*1000000*Training_Prod!H59/3600/Training!H64,"SLO 不可達")</f>
        <v>233744.218620225</v>
      </c>
      <c r="I86" s="62" t="n">
        <f aca="false">IF(AND(ISNUMBER(Training_Prod!I59)),Training!I81*1000000*Training_Prod!I59/3600/Training!I64,"SLO 不可達")</f>
        <v>9518.17214480276</v>
      </c>
      <c r="J86" s="62" t="n">
        <f aca="false">IF(AND(ISNUMBER(Training_Prod!J59)),Training!J81*1000000*Training_Prod!J59/3600/Training!J64,"SLO 不可達")</f>
        <v>35228.8318006957</v>
      </c>
      <c r="K86" s="62" t="n">
        <f aca="false">IF(AND(ISNUMBER(Training_Prod!K59)),Training!K81*1000000*Training_Prod!K59/3600/Training!K64,"SLO 不可達")</f>
        <v>161869.497195913</v>
      </c>
      <c r="L86" s="62" t="n">
        <f aca="false">IF(AND(ISNUMBER(Training_Prod!L59)),Training!L81*1000000*Training_Prod!L59/3600/Training!L64,"SLO 不可達")</f>
        <v>5400.98333345917</v>
      </c>
      <c r="M86" s="62" t="n">
        <f aca="false">IF(AND(ISNUMBER(Training_Prod!M59)),Training!M81*1000000*Training_Prod!M59/3600/Training!M64,"SLO 不可達")</f>
        <v>19445.8393043702</v>
      </c>
      <c r="N86" s="62" t="n">
        <f aca="false">IF(AND(ISNUMBER(Training_Prod!N59)),Training!N81*1000000*Training_Prod!N59/3600/Training!N64,"SLO 不可達")</f>
        <v>83924.6844011622</v>
      </c>
      <c r="O86" s="62" t="n">
        <f aca="false">IF(AND(ISNUMBER(Training_Prod!O59)),Training!O81*1000000*Training_Prod!O59/3600/Training!O64,"SLO 不可達")</f>
        <v>2021.53161103449</v>
      </c>
      <c r="P86" s="62" t="n">
        <f aca="false">IF(AND(ISNUMBER(Training_Prod!P59)),Training!P81*1000000*Training_Prod!P59/3600/Training!P64,"SLO 不可達")</f>
        <v>7220.4313729396</v>
      </c>
      <c r="Q86" s="62" t="n">
        <f aca="false">IF(AND(ISNUMBER(Training_Prod!Q59)),Training!Q81*1000000*Training_Prod!Q59/3600/Training!Q64,"SLO 不可達")</f>
        <v>30637.91263142</v>
      </c>
      <c r="S86" s="62" t="n">
        <f aca="false">IF(AND(ISNUMBER(Training_Prod!S59)),Training!C81*1000000*Training_Prod!S59/3600/Training!C64,"SLO 不可達")</f>
        <v>52928.3721908486</v>
      </c>
      <c r="T86" s="62" t="n">
        <f aca="false">IF(AND(ISNUMBER(Training_Prod!T59)),Training!D81*1000000*Training_Prod!T59/3600/Training!D64,"SLO 不可達")</f>
        <v>203639.32297686</v>
      </c>
      <c r="U86" s="62" t="n">
        <f aca="false">IF(AND(ISNUMBER(Training_Prod!U59)),Training!E81*1000000*Training_Prod!U59/3600/Training!E64,"SLO 不可達")</f>
        <v>895887.261383411</v>
      </c>
      <c r="V86" s="62" t="n">
        <f aca="false">IF(AND(ISNUMBER(Training_Prod!V59)),Training!F81*1000000*Training_Prod!V59/3600/Training!F64,"SLO 不可達")</f>
        <v>12001.0421895401</v>
      </c>
      <c r="W86" s="62" t="n">
        <f aca="false">IF(AND(ISNUMBER(Training_Prod!W59)),Training!G81*1000000*Training_Prod!W59/3600/Training!G64,"SLO 不可達")</f>
        <v>44175.6224144917</v>
      </c>
      <c r="X86" s="62" t="n">
        <f aca="false">IF(AND(ISNUMBER(Training_Prod!X59)),Training!H81*1000000*Training_Prod!X59/3600/Training!H64,"SLO 不可達")</f>
        <v>192791.536112272</v>
      </c>
      <c r="Y86" s="62" t="n">
        <f aca="false">IF(AND(ISNUMBER(Training_Prod!Y59)),Training!I81*1000000*Training_Prod!Y59/3600/Training!I64,"SLO 不可達")</f>
        <v>8000.69479302675</v>
      </c>
      <c r="Z86" s="62" t="n">
        <f aca="false">IF(AND(ISNUMBER(Training_Prod!Z59)),Training!J81*1000000*Training_Prod!Z59/3600/Training!J64,"SLO 不可達")</f>
        <v>29450.4149429944</v>
      </c>
      <c r="AA86" s="62" t="n">
        <f aca="false">IF(AND(ISNUMBER(Training_Prod!AA59)),Training!K81*1000000*Training_Prod!AA59/3600/Training!K64,"SLO 不可達")</f>
        <v>133356.217612649</v>
      </c>
      <c r="AB86" s="62" t="n">
        <f aca="false">IF(AND(ISNUMBER(Training_Prod!AB59)),Training!L81*1000000*Training_Prod!AB59/3600/Training!L64,"SLO 不可達")</f>
        <v>4540.25894459413</v>
      </c>
      <c r="AC86" s="62" t="n">
        <f aca="false">IF(AND(ISNUMBER(Training_Prod!AC59)),Training!M81*1000000*Training_Prod!AC59/3600/Training!M64,"SLO 不可達")</f>
        <v>16265.3626052943</v>
      </c>
      <c r="AD86" s="62" t="n">
        <f aca="false">IF(AND(ISNUMBER(Training_Prod!AD59)),Training!N81*1000000*Training_Prod!AD59/3600/Training!N64,"SLO 不可達")</f>
        <v>69339.0610047075</v>
      </c>
      <c r="AE86" s="62" t="n">
        <f aca="false">IF(AND(ISNUMBER(Training_Prod!AE59)),Training!O81*1000000*Training_Prod!AE59/3600/Training!O64,"SLO 不可達")</f>
        <v>1699.40693850807</v>
      </c>
      <c r="AF86" s="62" t="n">
        <f aca="false">IF(AND(ISNUMBER(Training_Prod!AF59)),Training!P81*1000000*Training_Prod!AF59/3600/Training!P64,"SLO 不可達")</f>
        <v>6040.43704331619</v>
      </c>
      <c r="AG86" s="62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0" t="s">
        <v>1068</v>
      </c>
      <c r="B87" s="58" t="s">
        <v>1023</v>
      </c>
      <c r="C87" s="62" t="n">
        <f aca="false">Training!C83*1000000*Training_Prod!C84/3600</f>
        <v>10674.9191225731</v>
      </c>
      <c r="D87" s="62" t="n">
        <f aca="false">Training!D83*1000000*Training_Prod!D84/3600</f>
        <v>43460.0443259541</v>
      </c>
      <c r="E87" s="62" t="n">
        <f aca="false">Training!E83*1000000*Training_Prod!E84/3600</f>
        <v>132260.525387101</v>
      </c>
      <c r="F87" s="62" t="n">
        <f aca="false">Training!F83*1000000*Training_Prod!F84/3600</f>
        <v>1055.74950122248</v>
      </c>
      <c r="G87" s="62" t="n">
        <f aca="false">Training!G83*1000000*Training_Prod!G84/3600</f>
        <v>4298.19838383686</v>
      </c>
      <c r="H87" s="62" t="n">
        <f aca="false">Training!H83*1000000*Training_Prod!H84/3600</f>
        <v>13080.5659607843</v>
      </c>
      <c r="I87" s="62" t="n">
        <f aca="false">Training!I83*1000000*Training_Prod!I84/3600</f>
        <v>703.833000814989</v>
      </c>
      <c r="J87" s="62" t="n">
        <f aca="false">Training!J83*1000000*Training_Prod!J84/3600</f>
        <v>2865.46558922457</v>
      </c>
      <c r="K87" s="62" t="n">
        <f aca="false">Training!K83*1000000*Training_Prod!K84/3600</f>
        <v>8720.37730718954</v>
      </c>
      <c r="L87" s="62" t="n">
        <f aca="false">Training!L83*1000000*Training_Prod!L84/3600</f>
        <v>301.642714634995</v>
      </c>
      <c r="M87" s="62" t="n">
        <f aca="false">Training!M83*1000000*Training_Prod!M84/3600</f>
        <v>1228.05668109625</v>
      </c>
      <c r="N87" s="62" t="n">
        <f aca="false">Training!N83*1000000*Training_Prod!N84/3600</f>
        <v>3737.30456022409</v>
      </c>
      <c r="O87" s="62" t="n">
        <f aca="false">Training!O83*1000000*Training_Prod!O84/3600</f>
        <v>150.821357317498</v>
      </c>
      <c r="P87" s="62" t="n">
        <f aca="false">Training!P83*1000000*Training_Prod!P84/3600</f>
        <v>614.028340548123</v>
      </c>
      <c r="Q87" s="62" t="n">
        <f aca="false">Training!Q83*1000000*Training_Prod!Q84/3600</f>
        <v>1868.65228011204</v>
      </c>
      <c r="S87" s="62" t="n">
        <f aca="false">Training!C83*1000000*Training_Prod!S84/3600</f>
        <v>9073.68125418717</v>
      </c>
      <c r="T87" s="62" t="n">
        <f aca="false">Training!D83*1000000*Training_Prod!T84/3600</f>
        <v>36941.037677061</v>
      </c>
      <c r="U87" s="62" t="n">
        <f aca="false">Training!E83*1000000*Training_Prod!U84/3600</f>
        <v>112421.446579036</v>
      </c>
      <c r="V87" s="62" t="n">
        <f aca="false">Training!F83*1000000*Training_Prod!V84/3600</f>
        <v>897.387076039111</v>
      </c>
      <c r="W87" s="62" t="n">
        <f aca="false">Training!G83*1000000*Training_Prod!W84/3600</f>
        <v>3653.46862626133</v>
      </c>
      <c r="X87" s="62" t="n">
        <f aca="false">Training!H83*1000000*Training_Prod!X84/3600</f>
        <v>11118.4810666667</v>
      </c>
      <c r="Y87" s="62" t="n">
        <f aca="false">Training!I83*1000000*Training_Prod!Y84/3600</f>
        <v>598.258050692741</v>
      </c>
      <c r="Z87" s="62" t="n">
        <f aca="false">Training!J83*1000000*Training_Prod!Z84/3600</f>
        <v>2435.64575084089</v>
      </c>
      <c r="AA87" s="62" t="n">
        <f aca="false">Training!K83*1000000*Training_Prod!AA84/3600</f>
        <v>7412.32071111111</v>
      </c>
      <c r="AB87" s="62" t="n">
        <f aca="false">Training!L83*1000000*Training_Prod!AB84/3600</f>
        <v>256.396307439746</v>
      </c>
      <c r="AC87" s="62" t="n">
        <f aca="false">Training!M83*1000000*Training_Prod!AC84/3600</f>
        <v>1043.84817893181</v>
      </c>
      <c r="AD87" s="62" t="n">
        <f aca="false">Training!N83*1000000*Training_Prod!AD84/3600</f>
        <v>3176.70887619048</v>
      </c>
      <c r="AE87" s="62" t="n">
        <f aca="false">Training!O83*1000000*Training_Prod!AE84/3600</f>
        <v>128.198153719873</v>
      </c>
      <c r="AF87" s="62" t="n">
        <f aca="false">Training!P83*1000000*Training_Prod!AF84/3600</f>
        <v>521.924089465905</v>
      </c>
      <c r="AG87" s="62" t="n">
        <f aca="false">Training!Q83*1000000*Training_Prod!AG84/3600</f>
        <v>1588.35443809524</v>
      </c>
    </row>
    <row r="90" customFormat="false" ht="15" hidden="false" customHeight="false" outlineLevel="0" collapsed="false">
      <c r="A90" s="60" t="s">
        <v>1071</v>
      </c>
      <c r="B90" s="58" t="s">
        <v>1023</v>
      </c>
      <c r="C90" s="62" t="n">
        <f aca="false">IF(AND(ISNUMBER(Training_Prod!C86)),Training_Prod!C86+Training_Prod!C87+Training!C89,"SLO 不可達")</f>
        <v>110236.573064922</v>
      </c>
      <c r="D90" s="62" t="n">
        <f aca="false">IF(AND(ISNUMBER(Training_Prod!D86)),Training_Prod!D86+Training_Prod!D87+Training!D89,"SLO 不可達")</f>
        <v>414211.17851736</v>
      </c>
      <c r="E90" s="62" t="n">
        <f aca="false">IF(AND(ISNUMBER(Training_Prod!E86)),Training_Prod!E86+Training_Prod!E87+Training!E89,"SLO 不可達")</f>
        <v>1690552.082797</v>
      </c>
      <c r="F90" s="62" t="n">
        <f aca="false">IF(AND(ISNUMBER(Training_Prod!F86)),Training_Prod!F86+Training_Prod!F87+Training!F89,"SLO 不可達")</f>
        <v>29656.4114959437</v>
      </c>
      <c r="G90" s="62" t="n">
        <f aca="false">IF(AND(ISNUMBER(Training_Prod!G86)),Training_Prod!G86+Training_Prod!G87+Training!G89,"SLO 不可達")</f>
        <v>106419.88998414</v>
      </c>
      <c r="H90" s="62" t="n">
        <f aca="false">IF(AND(ISNUMBER(Training_Prod!H86)),Training_Prod!H86+Training_Prod!H87+Training!H89,"SLO 不可達")</f>
        <v>424897.360581009</v>
      </c>
      <c r="I90" s="62" t="n">
        <f aca="false">IF(AND(ISNUMBER(Training_Prod!I86)),Training_Prod!I86+Training_Prod!I87+Training!I89,"SLO 不可達")</f>
        <v>24545.4089231348</v>
      </c>
      <c r="J90" s="62" t="n">
        <f aca="false">IF(AND(ISNUMBER(Training_Prod!J86)),Training_Prod!J86+Training_Prod!J87+Training!J89,"SLO 不可達")</f>
        <v>87372.7412891795</v>
      </c>
      <c r="K90" s="62" t="n">
        <f aca="false">IF(AND(ISNUMBER(Training_Prod!K86)),Training_Prod!K86+Training_Prod!K87+Training!K89,"SLO 不可達")</f>
        <v>348662.450503103</v>
      </c>
      <c r="L90" s="62" t="n">
        <f aca="false">IF(AND(ISNUMBER(Training_Prod!L86)),Training_Prod!L86+Training_Prod!L87+Training!L89,"SLO 不可達")</f>
        <v>10249.738358417</v>
      </c>
      <c r="M90" s="62" t="n">
        <f aca="false">IF(AND(ISNUMBER(Training_Prod!M86)),Training_Prod!M86+Training_Prod!M87+Training!M89,"SLO 不可達")</f>
        <v>36317.8464296758</v>
      </c>
      <c r="N90" s="62" t="n">
        <f aca="false">IF(AND(ISNUMBER(Training_Prod!N86)),Training_Prod!N86+Training_Prod!N87+Training!N89,"SLO 不可達")</f>
        <v>144192.965469323</v>
      </c>
      <c r="O90" s="62" t="n">
        <f aca="false">IF(AND(ISNUMBER(Training_Prod!O86)),Training_Prod!O86+Training_Prod!O87+Training!O89,"SLO 不可達")</f>
        <v>4445.90912351342</v>
      </c>
      <c r="P90" s="62" t="n">
        <f aca="false">IF(AND(ISNUMBER(Training_Prod!P86)),Training_Prod!P86+Training_Prod!P87+Training!P89,"SLO 不可達")</f>
        <v>15656.4349355924</v>
      </c>
      <c r="Q90" s="62" t="n">
        <f aca="false">IF(AND(ISNUMBER(Training_Prod!Q86)),Training_Prod!Q86+Training_Prod!Q87+Training!Q89,"SLO 不可達")</f>
        <v>60772.0531655003</v>
      </c>
      <c r="S90" s="62" t="n">
        <f aca="false">IF(AND(ISNUMBER(Training_Prod!S86)),Training_Prod!S86+Training_Prod!S87+Training!C89,"SLO 不可達")</f>
        <v>98190.5420188534</v>
      </c>
      <c r="T90" s="62" t="n">
        <f aca="false">IF(AND(ISNUMBER(Training_Prod!T86)),Training_Prod!T86+Training_Prod!T87+Training!D89,"SLO 不可達")</f>
        <v>365083.756053767</v>
      </c>
      <c r="U90" s="62" t="n">
        <f aca="false">IF(AND(ISNUMBER(Training_Prod!U86)),Training_Prod!U86+Training_Prod!U87+Training!E89,"SLO 不可達")</f>
        <v>1458214.155158</v>
      </c>
      <c r="V90" s="62" t="n">
        <f aca="false">IF(AND(ISNUMBER(Training_Prod!V86)),Training_Prod!V86+Training_Prod!V87+Training!F89,"SLO 不可達")</f>
        <v>27221.8330430963</v>
      </c>
      <c r="W90" s="62" t="n">
        <f aca="false">IF(AND(ISNUMBER(Training_Prod!W86)),Training_Prod!W86+Training_Prod!W87+Training!G89,"SLO 不可達")</f>
        <v>97107.5349400122</v>
      </c>
      <c r="X90" s="62" t="n">
        <f aca="false">IF(AND(ISNUMBER(Training_Prod!X86)),Training_Prod!X86+Training_Prod!X87+Training!H89,"SLO 不可達")</f>
        <v>381982.593178939</v>
      </c>
      <c r="Y90" s="62" t="n">
        <f aca="false">IF(AND(ISNUMBER(Training_Prod!Y86)),Training_Prod!Y86+Training_Prod!Y87+Training!I89,"SLO 不可達")</f>
        <v>22922.3566212365</v>
      </c>
      <c r="Z90" s="62" t="n">
        <f aca="false">IF(AND(ISNUMBER(Training_Prod!Z86)),Training_Prod!Z86+Training_Prod!Z87+Training!J89,"SLO 不可達")</f>
        <v>81164.5045930946</v>
      </c>
      <c r="AA90" s="62" t="n">
        <f aca="false">IF(AND(ISNUMBER(Training_Prod!AA86)),Training_Prod!AA86+Training_Prod!AA87+Training!K89,"SLO 不可達")</f>
        <v>318841.11432376</v>
      </c>
      <c r="AB90" s="62" t="n">
        <f aca="false">IF(AND(ISNUMBER(Training_Prod!AB86)),Training_Prod!AB86+Training_Prod!AB87+Training!L89,"SLO 不可達")</f>
        <v>9343.76756235674</v>
      </c>
      <c r="AC90" s="62" t="n">
        <f aca="false">IF(AND(ISNUMBER(Training_Prod!AC86)),Training_Prod!AC86+Training_Prod!AC87+Training!M89,"SLO 不可達")</f>
        <v>32953.1612284354</v>
      </c>
      <c r="AD90" s="62" t="n">
        <f aca="false">IF(AND(ISNUMBER(Training_Prod!AD86)),Training_Prod!AD86+Training_Prod!AD87+Training!N89,"SLO 不可達")</f>
        <v>129046.746388834</v>
      </c>
      <c r="AE90" s="62" t="n">
        <f aca="false">IF(AND(ISNUMBER(Training_Prod!AE86)),Training_Prod!AE86+Training_Prod!AE87+Training!O89,"SLO 不可達")</f>
        <v>4101.16124738937</v>
      </c>
      <c r="AF90" s="62" t="n">
        <f aca="false">IF(AND(ISNUMBER(Training_Prod!AF86)),Training_Prod!AF86+Training_Prod!AF87+Training!P89,"SLO 不可達")</f>
        <v>14384.3363548867</v>
      </c>
      <c r="AG90" s="62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0" t="s">
        <v>1076</v>
      </c>
      <c r="B95" s="58" t="s">
        <v>803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3576.28654488944</v>
      </c>
      <c r="G95" s="98" t="n">
        <f aca="false">INDEX(Perf_Batch_Prod!$C$103:$Q$103,3*(Training!G$6-1)+Training!G94)</f>
        <v>3576.28654488944</v>
      </c>
      <c r="H95" s="98" t="n">
        <f aca="false">INDEX(Perf_Batch_Prod!$C$103:$Q$103,3*(Training!H$6-1)+Training!H94)</f>
        <v>3576.28654488944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2949.71050251776</v>
      </c>
      <c r="W95" s="98" t="n">
        <f aca="false">INDEX(Perf_Batch_Prod!$S$103:$AG$103,3*(Training!G$6-1)+Training!G94)</f>
        <v>2949.71050251776</v>
      </c>
      <c r="X95" s="98" t="n">
        <f aca="false">INDEX(Perf_Batch_Prod!$S$103:$AG$103,3*(Training!H$6-1)+Training!H94)</f>
        <v>2949.71050251776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0" t="s">
        <v>1078</v>
      </c>
      <c r="B97" s="58" t="s">
        <v>1023</v>
      </c>
      <c r="C97" s="62" t="n">
        <f aca="false">IF(AND(ISNUMBER(Training_Prod!C95)),Training!C93*1000000*Training_Prod!C95/3600,"SLO 不可達")</f>
        <v>4710640.96841096</v>
      </c>
      <c r="D97" s="62" t="n">
        <f aca="false">IF(AND(ISNUMBER(Training_Prod!D95)),Training!D93*1000000*Training_Prod!D95/3600,"SLO 不可達")</f>
        <v>9421281.93682192</v>
      </c>
      <c r="E97" s="62" t="n">
        <f aca="false">IF(AND(ISNUMBER(Training_Prod!E95)),Training!E93*1000000*Training_Prod!E95/3600,"SLO 不可達")</f>
        <v>14131922.9052329</v>
      </c>
      <c r="F97" s="62" t="n">
        <f aca="false">IF(AND(ISNUMBER(Training_Prod!F95)),Training!F93*1000000*Training_Prod!F95/3600,"SLO 不可達")</f>
        <v>993412.929135956</v>
      </c>
      <c r="G97" s="62" t="n">
        <f aca="false">IF(AND(ISNUMBER(Training_Prod!G95)),Training!G93*1000000*Training_Prod!G95/3600,"SLO 不可達")</f>
        <v>1986825.85827191</v>
      </c>
      <c r="H97" s="62" t="n">
        <f aca="false">IF(AND(ISNUMBER(Training_Prod!H95)),Training!H93*1000000*Training_Prod!H95/3600,"SLO 不可達")</f>
        <v>2980238.78740787</v>
      </c>
      <c r="I97" s="62" t="n">
        <f aca="false">IF(AND(ISNUMBER(Training_Prod!I95)),Training!I93*1000000*Training_Prod!I95/3600,"SLO 不可達")</f>
        <v>687945.363082631</v>
      </c>
      <c r="J97" s="62" t="n">
        <f aca="false">IF(AND(ISNUMBER(Training_Prod!J95)),Training!J93*1000000*Training_Prod!J95/3600,"SLO 不可達")</f>
        <v>1375890.72616526</v>
      </c>
      <c r="K97" s="62" t="n">
        <f aca="false">IF(AND(ISNUMBER(Training_Prod!K95)),Training!K93*1000000*Training_Prod!K95/3600,"SLO 不可達")</f>
        <v>2063836.08924789</v>
      </c>
      <c r="L97" s="62" t="n">
        <f aca="false">IF(AND(ISNUMBER(Training_Prod!L95)),Training!L93*1000000*Training_Prod!L95/3600,"SLO 不可達")</f>
        <v>356679.90870494</v>
      </c>
      <c r="M97" s="62" t="n">
        <f aca="false">IF(AND(ISNUMBER(Training_Prod!M95)),Training!M93*1000000*Training_Prod!M95/3600,"SLO 不可達")</f>
        <v>713359.817409879</v>
      </c>
      <c r="N97" s="62" t="n">
        <f aca="false">IF(AND(ISNUMBER(Training_Prod!N95)),Training!N93*1000000*Training_Prod!N95/3600,"SLO 不可達")</f>
        <v>1070039.72611482</v>
      </c>
      <c r="O97" s="62" t="n">
        <f aca="false">IF(AND(ISNUMBER(Training_Prod!O95)),Training!O93*1000000*Training_Prod!O95/3600,"SLO 不可達")</f>
        <v>130211.128683535</v>
      </c>
      <c r="P97" s="62" t="n">
        <f aca="false">IF(AND(ISNUMBER(Training_Prod!P95)),Training!P93*1000000*Training_Prod!P95/3600,"SLO 不可達")</f>
        <v>260422.25736707</v>
      </c>
      <c r="Q97" s="62" t="n">
        <f aca="false">IF(AND(ISNUMBER(Training_Prod!Q95)),Training!Q93*1000000*Training_Prod!Q95/3600,"SLO 不可達")</f>
        <v>390633.386050605</v>
      </c>
      <c r="S97" s="62" t="n">
        <f aca="false">IF(AND(ISNUMBER(Training_Prod!S95)),Training!C93*1000000*Training_Prod!S95/3600,"SLO 不可達")</f>
        <v>3807520.8608795</v>
      </c>
      <c r="T97" s="62" t="n">
        <f aca="false">IF(AND(ISNUMBER(Training_Prod!T95)),Training!D93*1000000*Training_Prod!T95/3600,"SLO 不可達")</f>
        <v>7615041.72175899</v>
      </c>
      <c r="U97" s="62" t="n">
        <f aca="false">IF(AND(ISNUMBER(Training_Prod!U95)),Training!E93*1000000*Training_Prod!U95/3600,"SLO 不可達")</f>
        <v>11422562.5826385</v>
      </c>
      <c r="V97" s="62" t="n">
        <f aca="false">IF(AND(ISNUMBER(Training_Prod!V95)),Training!F93*1000000*Training_Prod!V95/3600,"SLO 不可達")</f>
        <v>819364.028477156</v>
      </c>
      <c r="W97" s="62" t="n">
        <f aca="false">IF(AND(ISNUMBER(Training_Prod!W95)),Training!G93*1000000*Training_Prod!W95/3600,"SLO 不可達")</f>
        <v>1638728.05695431</v>
      </c>
      <c r="X97" s="62" t="n">
        <f aca="false">IF(AND(ISNUMBER(Training_Prod!X95)),Training!H93*1000000*Training_Prod!X95/3600,"SLO 不可達")</f>
        <v>2458092.08543147</v>
      </c>
      <c r="Y97" s="62" t="n">
        <f aca="false">IF(AND(ISNUMBER(Training_Prod!Y95)),Training!I93*1000000*Training_Prod!Y95/3600,"SLO 不可達")</f>
        <v>566763.924853758</v>
      </c>
      <c r="Z97" s="62" t="n">
        <f aca="false">IF(AND(ISNUMBER(Training_Prod!Z95)),Training!J93*1000000*Training_Prod!Z95/3600,"SLO 不可達")</f>
        <v>1133527.84970752</v>
      </c>
      <c r="AA97" s="62" t="n">
        <f aca="false">IF(AND(ISNUMBER(Training_Prod!AA95)),Training!K93*1000000*Training_Prod!AA95/3600,"SLO 不可達")</f>
        <v>1700291.77456127</v>
      </c>
      <c r="AB97" s="62" t="n">
        <f aca="false">IF(AND(ISNUMBER(Training_Prod!AB95)),Training!L93*1000000*Training_Prod!AB95/3600,"SLO 不可達")</f>
        <v>294691.009270007</v>
      </c>
      <c r="AC97" s="62" t="n">
        <f aca="false">IF(AND(ISNUMBER(Training_Prod!AC95)),Training!M93*1000000*Training_Prod!AC95/3600,"SLO 不可達")</f>
        <v>589382.018540014</v>
      </c>
      <c r="AD97" s="62" t="n">
        <f aca="false">IF(AND(ISNUMBER(Training_Prod!AD95)),Training!N93*1000000*Training_Prod!AD95/3600,"SLO 不可達")</f>
        <v>884073.027810021</v>
      </c>
      <c r="AE97" s="62" t="n">
        <f aca="false">IF(AND(ISNUMBER(Training_Prod!AE95)),Training!O93*1000000*Training_Prod!AE95/3600,"SLO 不可達")</f>
        <v>107661.039665007</v>
      </c>
      <c r="AF97" s="62" t="n">
        <f aca="false">IF(AND(ISNUMBER(Training_Prod!AF95)),Training!P93*1000000*Training_Prod!AF95/3600,"SLO 不可達")</f>
        <v>215322.079330015</v>
      </c>
      <c r="AG97" s="62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0" t="s">
        <v>1080</v>
      </c>
      <c r="B100" s="58" t="s">
        <v>1023</v>
      </c>
      <c r="C100" s="62" t="n">
        <f aca="false">IF(AND(ISNUMBER(Training_Prod!C59)),Training!C99*1000000*Training_Prod!C59/3600,"SLO 不可達")</f>
        <v>5386.71905632514</v>
      </c>
      <c r="D100" s="62" t="n">
        <f aca="false">IF(AND(ISNUMBER(Training_Prod!D59)),Training!D99*1000000*Training_Prod!D59/3600,"SLO 不可達")</f>
        <v>52327.6444932064</v>
      </c>
      <c r="E100" s="62" t="n">
        <f aca="false">IF(AND(ISNUMBER(Training_Prod!E59)),Training!E99*1000000*Training_Prod!E59/3600,"SLO 不可達")</f>
        <v>471064.096841096</v>
      </c>
      <c r="F100" s="62" t="n">
        <f aca="false">IF(AND(ISNUMBER(Training_Prod!F59)),Training!F99*1000000*Training_Prod!F59/3600,"SLO 不可達")</f>
        <v>1213.56694846235</v>
      </c>
      <c r="G100" s="62" t="n">
        <f aca="false">IF(AND(ISNUMBER(Training_Prod!G59)),Training!G99*1000000*Training_Prod!G59/3600,"SLO 不可達")</f>
        <v>11229.1901364718</v>
      </c>
      <c r="H100" s="62" t="n">
        <f aca="false">IF(AND(ISNUMBER(Training_Prod!H59)),Training!H99*1000000*Training_Prod!H59/3600,"SLO 不可達")</f>
        <v>99341.2929135956</v>
      </c>
      <c r="I100" s="62" t="n">
        <f aca="false">IF(AND(ISNUMBER(Training_Prod!I59)),Training!I99*1000000*Training_Prod!I59/3600,"SLO 不可達")</f>
        <v>809.044632308235</v>
      </c>
      <c r="J100" s="62" t="n">
        <f aca="false">IF(AND(ISNUMBER(Training_Prod!J59)),Training!J99*1000000*Training_Prod!J59/3600,"SLO 不可達")</f>
        <v>7486.12675764784</v>
      </c>
      <c r="K100" s="62" t="n">
        <f aca="false">IF(AND(ISNUMBER(Training_Prod!K59)),Training!K99*1000000*Training_Prod!K59/3600,"SLO 不可達")</f>
        <v>68794.5363082631</v>
      </c>
      <c r="L100" s="62" t="n">
        <f aca="false">IF(AND(ISNUMBER(Training_Prod!L59)),Training!L99*1000000*Training_Prod!L59/3600,"SLO 不可達")</f>
        <v>459.08358334403</v>
      </c>
      <c r="M100" s="62" t="n">
        <f aca="false">IF(AND(ISNUMBER(Training_Prod!M59)),Training!M99*1000000*Training_Prod!M59/3600,"SLO 不可達")</f>
        <v>4132.24085217867</v>
      </c>
      <c r="N100" s="62" t="n">
        <f aca="false">IF(AND(ISNUMBER(Training_Prod!N59)),Training!N99*1000000*Training_Prod!N59/3600,"SLO 不可達")</f>
        <v>35667.9908704939</v>
      </c>
      <c r="O100" s="62" t="n">
        <f aca="false">IF(AND(ISNUMBER(Training_Prod!O59)),Training!O99*1000000*Training_Prod!O59/3600,"SLO 不可達")</f>
        <v>171.830186937931</v>
      </c>
      <c r="P100" s="62" t="n">
        <f aca="false">IF(AND(ISNUMBER(Training_Prod!P59)),Training!P99*1000000*Training_Prod!P59/3600,"SLO 不可達")</f>
        <v>1534.34166674967</v>
      </c>
      <c r="Q100" s="62" t="n">
        <f aca="false">IF(AND(ISNUMBER(Training_Prod!Q59)),Training!Q99*1000000*Training_Prod!Q59/3600,"SLO 不可達")</f>
        <v>13021.1128683535</v>
      </c>
      <c r="S100" s="62" t="n">
        <f aca="false">IF(AND(ISNUMBER(Training_Prod!S59)),Training!C99*1000000*Training_Prod!S59/3600,"SLO 不可達")</f>
        <v>4498.91163622213</v>
      </c>
      <c r="T100" s="62" t="n">
        <f aca="false">IF(AND(ISNUMBER(Training_Prod!T59)),Training!D99*1000000*Training_Prod!T59/3600,"SLO 不可達")</f>
        <v>43273.3561325827</v>
      </c>
      <c r="U100" s="62" t="n">
        <f aca="false">IF(AND(ISNUMBER(Training_Prod!U59)),Training!E99*1000000*Training_Prod!U59/3600,"SLO 不可達")</f>
        <v>380752.08608795</v>
      </c>
      <c r="V100" s="62" t="n">
        <f aca="false">IF(AND(ISNUMBER(Training_Prod!V59)),Training!F99*1000000*Training_Prod!V59/3600,"SLO 不可達")</f>
        <v>1020.08858611091</v>
      </c>
      <c r="W100" s="62" t="n">
        <f aca="false">IF(AND(ISNUMBER(Training_Prod!W59)),Training!G99*1000000*Training_Prod!W59/3600,"SLO 不可達")</f>
        <v>9387.31976307948</v>
      </c>
      <c r="X100" s="62" t="n">
        <f aca="false">IF(AND(ISNUMBER(Training_Prod!X59)),Training!H99*1000000*Training_Prod!X59/3600,"SLO 不可達")</f>
        <v>81936.4028477156</v>
      </c>
      <c r="Y100" s="62" t="n">
        <f aca="false">IF(AND(ISNUMBER(Training_Prod!Y59)),Training!I99*1000000*Training_Prod!Y59/3600,"SLO 不可達")</f>
        <v>680.059057407274</v>
      </c>
      <c r="Z100" s="62" t="n">
        <f aca="false">IF(AND(ISNUMBER(Training_Prod!Z59)),Training!J99*1000000*Training_Prod!Z59/3600,"SLO 不可達")</f>
        <v>6258.21317538632</v>
      </c>
      <c r="AA100" s="62" t="n">
        <f aca="false">IF(AND(ISNUMBER(Training_Prod!AA59)),Training!K99*1000000*Training_Prod!AA59/3600,"SLO 不可達")</f>
        <v>56676.3924853758</v>
      </c>
      <c r="AB100" s="62" t="n">
        <f aca="false">IF(AND(ISNUMBER(Training_Prod!AB59)),Training!L99*1000000*Training_Prod!AB59/3600,"SLO 不可達")</f>
        <v>385.922010290501</v>
      </c>
      <c r="AC100" s="62" t="n">
        <f aca="false">IF(AND(ISNUMBER(Training_Prod!AC59)),Training!M99*1000000*Training_Prod!AC59/3600,"SLO 不可達")</f>
        <v>3456.38955362504</v>
      </c>
      <c r="AD100" s="62" t="n">
        <f aca="false">IF(AND(ISNUMBER(Training_Prod!AD59)),Training!N99*1000000*Training_Prod!AD59/3600,"SLO 不可達")</f>
        <v>29469.1009270007</v>
      </c>
      <c r="AE100" s="62" t="n">
        <f aca="false">IF(AND(ISNUMBER(Training_Prod!AE59)),Training!O99*1000000*Training_Prod!AE59/3600,"SLO 不可達")</f>
        <v>144.449589773186</v>
      </c>
      <c r="AF100" s="62" t="n">
        <f aca="false">IF(AND(ISNUMBER(Training_Prod!AF59)),Training!P99*1000000*Training_Prod!AF59/3600,"SLO 不可達")</f>
        <v>1283.59287170469</v>
      </c>
      <c r="AG100" s="62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0" t="s">
        <v>1084</v>
      </c>
      <c r="B104" s="58" t="s">
        <v>1023</v>
      </c>
      <c r="C104" s="62" t="n">
        <f aca="false">IF(AND(ISNUMBER(Training_Prod!C75),ISNUMBER(Training_Prod!C90)),Training!C51+Training_Prod!C75+Training_Prod!C90,"SLO 不可達")</f>
        <v>1292680.15212494</v>
      </c>
      <c r="D104" s="62" t="n">
        <f aca="false">IF(AND(ISNUMBER(Training_Prod!D75),ISNUMBER(Training_Prod!D90)),Training!D51+Training_Prod!D75+Training_Prod!D90,"SLO 不可達")</f>
        <v>4817176.40732317</v>
      </c>
      <c r="E104" s="62" t="n">
        <f aca="false">IF(AND(ISNUMBER(Training_Prod!E75),ISNUMBER(Training_Prod!E90)),Training!E51+Training_Prod!E75+Training_Prod!E90,"SLO 不可達")</f>
        <v>76737784.656058</v>
      </c>
      <c r="F104" s="62" t="n">
        <f aca="false">IF(AND(ISNUMBER(Training_Prod!F75),ISNUMBER(Training_Prod!F90)),Training!F51+Training_Prod!F75+Training_Prod!F90,"SLO 不可達")</f>
        <v>369242.025166705</v>
      </c>
      <c r="G104" s="62" t="n">
        <f aca="false">IF(AND(ISNUMBER(Training_Prod!G75),ISNUMBER(Training_Prod!G90)),Training!G51+Training_Prod!G75+Training_Prod!G90,"SLO 不可達")</f>
        <v>1318846.72820486</v>
      </c>
      <c r="H104" s="62" t="n">
        <f aca="false">IF(AND(ISNUMBER(Training_Prod!H75),ISNUMBER(Training_Prod!H90)),Training!H51+Training_Prod!H75+Training_Prod!H90,"SLO 不可達")</f>
        <v>20244554.0070377</v>
      </c>
      <c r="I104" s="62" t="n">
        <f aca="false">IF(AND(ISNUMBER(Training_Prod!I75),ISNUMBER(Training_Prod!I90)),Training!I51+Training_Prod!I75+Training_Prod!I90,"SLO 不可達")</f>
        <v>307872.027167383</v>
      </c>
      <c r="J104" s="62" t="n">
        <f aca="false">IF(AND(ISNUMBER(Training_Prod!J75),ISNUMBER(Training_Prod!J90)),Training!J51+Training_Prod!J75+Training_Prod!J90,"SLO 不可達")</f>
        <v>1091535.10308735</v>
      </c>
      <c r="K104" s="62" t="n">
        <f aca="false">IF(AND(ISNUMBER(Training_Prod!K75),ISNUMBER(Training_Prod!K90)),Training!K51+Training_Prod!K75+Training_Prod!K90,"SLO 不可達")</f>
        <v>16713202.8348827</v>
      </c>
      <c r="L104" s="62" t="n">
        <f aca="false">IF(AND(ISNUMBER(Training_Prod!L75),ISNUMBER(Training_Prod!L90)),Training!L51+Training_Prod!L75+Training_Prod!L90,"SLO 不可達")</f>
        <v>128293.542574537</v>
      </c>
      <c r="M104" s="62" t="n">
        <f aca="false">IF(AND(ISNUMBER(Training_Prod!M75),ISNUMBER(Training_Prod!M90)),Training!M51+Training_Prod!M75+Training_Prod!M90,"SLO 不可達")</f>
        <v>452684.212033585</v>
      </c>
      <c r="N104" s="62" t="n">
        <f aca="false">IF(AND(ISNUMBER(Training_Prod!N75),ISNUMBER(Training_Prod!N90)),Training!N51+Training_Prod!N75+Training_Prod!N90,"SLO 不可達")</f>
        <v>6902227.10643078</v>
      </c>
      <c r="O104" s="62" t="n">
        <f aca="false">IF(AND(ISNUMBER(Training_Prod!O75),ISNUMBER(Training_Prod!O90)),Training!O51+Training_Prod!O75+Training_Prod!O90,"SLO 不可達")</f>
        <v>55456.0825743711</v>
      </c>
      <c r="P104" s="62" t="n">
        <f aca="false">IF(AND(ISNUMBER(Training_Prod!P75),ISNUMBER(Training_Prod!P90)),Training!P51+Training_Prod!P75+Training_Prod!P90,"SLO 不可達")</f>
        <v>194310.25604245</v>
      </c>
      <c r="Q104" s="62" t="n">
        <f aca="false">IF(AND(ISNUMBER(Training_Prod!Q75),ISNUMBER(Training_Prod!Q90)),Training!Q51+Training_Prod!Q75+Training_Prod!Q90,"SLO 不可達")</f>
        <v>2896216.5043265</v>
      </c>
      <c r="S104" s="62" t="n">
        <f aca="false">IF(AND(ISNUMBER(Training_Prod!S75),ISNUMBER(Training_Prod!S90)),Training!C51+Training_Prod!S75+Training_Prod!S90,"SLO 不可達")</f>
        <v>1156922.45847323</v>
      </c>
      <c r="T104" s="62" t="n">
        <f aca="false">IF(AND(ISNUMBER(Training_Prod!T75),ISNUMBER(Training_Prod!T90)),Training!D51+Training_Prod!T75+Training_Prod!T90,"SLO 不可達")</f>
        <v>4263384.27926433</v>
      </c>
      <c r="U104" s="62" t="n">
        <f aca="false">IF(AND(ISNUMBER(Training_Prod!U75),ISNUMBER(Training_Prod!U90)),Training!E51+Training_Prod!U75+Training_Prod!U90,"SLO 不可達")</f>
        <v>66282161.8918188</v>
      </c>
      <c r="V104" s="62" t="n">
        <f aca="false">IF(AND(ISNUMBER(Training_Prod!V75),ISNUMBER(Training_Prod!V90)),Training!F51+Training_Prod!V75+Training_Prod!V90,"SLO 不可達")</f>
        <v>339902.296689943</v>
      </c>
      <c r="W104" s="62" t="n">
        <f aca="false">IF(AND(ISNUMBER(Training_Prod!W75),ISNUMBER(Training_Prod!W90)),Training!G51+Training_Prod!W75+Training_Prod!W90,"SLO 不可達")</f>
        <v>1207069.92882012</v>
      </c>
      <c r="X104" s="62" t="n">
        <f aca="false">IF(AND(ISNUMBER(Training_Prod!X75),ISNUMBER(Training_Prod!X90)),Training!H51+Training_Prod!X75+Training_Prod!X90,"SLO 不可達")</f>
        <v>18233602.1440843</v>
      </c>
      <c r="Y104" s="62" t="n">
        <f aca="false">IF(AND(ISNUMBER(Training_Prod!Y75),ISNUMBER(Training_Prod!Y90)),Training!I51+Training_Prod!Y75+Training_Prod!Y90,"SLO 不可達")</f>
        <v>288312.208182875</v>
      </c>
      <c r="Z104" s="62" t="n">
        <f aca="false">IF(AND(ISNUMBER(Training_Prod!Z75),ISNUMBER(Training_Prod!Z90)),Training!J51+Training_Prod!Z75+Training_Prod!Z90,"SLO 不可達")</f>
        <v>1017017.23683086</v>
      </c>
      <c r="AA104" s="62" t="n">
        <f aca="false">IF(AND(ISNUMBER(Training_Prod!AA75),ISNUMBER(Training_Prod!AA90)),Training!K51+Training_Prod!AA75+Training_Prod!AA90,"SLO 不可達")</f>
        <v>15313205.1885937</v>
      </c>
      <c r="AB104" s="62" t="n">
        <f aca="false">IF(AND(ISNUMBER(Training_Prod!AB75),ISNUMBER(Training_Prod!AB90)),Training!L51+Training_Prod!AB75+Training_Prod!AB90,"SLO 不可達")</f>
        <v>117217.93801916</v>
      </c>
      <c r="AC104" s="62" t="n">
        <f aca="false">IF(AND(ISNUMBER(Training_Prod!AC75),ISNUMBER(Training_Prod!AC90)),Training!M51+Training_Prod!AC75+Training_Prod!AC90,"SLO 不可達")</f>
        <v>411736.625794877</v>
      </c>
      <c r="AD104" s="62" t="n">
        <f aca="false">IF(AND(ISNUMBER(Training_Prod!AD75),ISNUMBER(Training_Prod!AD90)),Training!N51+Training_Prod!AD75+Training_Prod!AD90,"SLO 不可達")</f>
        <v>6186311.43998631</v>
      </c>
      <c r="AE104" s="62" t="n">
        <f aca="false">IF(AND(ISNUMBER(Training_Prod!AE75),ISNUMBER(Training_Prod!AE90)),Training!O51+Training_Prod!AE75+Training_Prod!AE90,"SLO 不可達")</f>
        <v>51303.720577081</v>
      </c>
      <c r="AF104" s="62" t="n">
        <f aca="false">IF(AND(ISNUMBER(Training_Prod!AF75),ISNUMBER(Training_Prod!AF90)),Training!P51+Training_Prod!AF75+Training_Prod!AF90,"SLO 不可達")</f>
        <v>179087.586378002</v>
      </c>
      <c r="AG104" s="62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0" t="s">
        <v>1085</v>
      </c>
      <c r="B105" s="58" t="s">
        <v>1023</v>
      </c>
      <c r="C105" s="62" t="n">
        <f aca="false">IF(AND(ISNUMBER(Training_Prod!C97),ISNUMBER(Training_Prod!C100)),Training_Prod!C97+Training_Prod!C100,"SLO 不可達")</f>
        <v>4716027.68746729</v>
      </c>
      <c r="D105" s="62" t="n">
        <f aca="false">IF(AND(ISNUMBER(Training_Prod!D97),ISNUMBER(Training_Prod!D100)),Training_Prod!D97+Training_Prod!D100,"SLO 不可達")</f>
        <v>9473609.58131513</v>
      </c>
      <c r="E105" s="62" t="n">
        <f aca="false">IF(AND(ISNUMBER(Training_Prod!E97),ISNUMBER(Training_Prod!E100)),Training_Prod!E97+Training_Prod!E100,"SLO 不可達")</f>
        <v>14602987.002074</v>
      </c>
      <c r="F105" s="62" t="n">
        <f aca="false">IF(AND(ISNUMBER(Training_Prod!F97),ISNUMBER(Training_Prod!F100)),Training_Prod!F97+Training_Prod!F100,"SLO 不可達")</f>
        <v>994626.496084419</v>
      </c>
      <c r="G105" s="62" t="n">
        <f aca="false">IF(AND(ISNUMBER(Training_Prod!G97),ISNUMBER(Training_Prod!G100)),Training_Prod!G97+Training_Prod!G100,"SLO 不可達")</f>
        <v>1998055.04840838</v>
      </c>
      <c r="H105" s="62" t="n">
        <f aca="false">IF(AND(ISNUMBER(Training_Prod!H97),ISNUMBER(Training_Prod!H100)),Training_Prod!H97+Training_Prod!H100,"SLO 不可達")</f>
        <v>3079580.08032146</v>
      </c>
      <c r="I105" s="62" t="n">
        <f aca="false">IF(AND(ISNUMBER(Training_Prod!I97),ISNUMBER(Training_Prod!I100)),Training_Prod!I97+Training_Prod!I100,"SLO 不可達")</f>
        <v>688754.407714939</v>
      </c>
      <c r="J105" s="62" t="n">
        <f aca="false">IF(AND(ISNUMBER(Training_Prod!J97),ISNUMBER(Training_Prod!J100)),Training_Prod!J97+Training_Prod!J100,"SLO 不可達")</f>
        <v>1383376.85292291</v>
      </c>
      <c r="K105" s="62" t="n">
        <f aca="false">IF(AND(ISNUMBER(Training_Prod!K97),ISNUMBER(Training_Prod!K100)),Training_Prod!K97+Training_Prod!K100,"SLO 不可達")</f>
        <v>2132630.62555616</v>
      </c>
      <c r="L105" s="62" t="n">
        <f aca="false">IF(AND(ISNUMBER(Training_Prod!L97),ISNUMBER(Training_Prod!L100)),Training_Prod!L97+Training_Prod!L100,"SLO 不可達")</f>
        <v>357138.992288284</v>
      </c>
      <c r="M105" s="62" t="n">
        <f aca="false">IF(AND(ISNUMBER(Training_Prod!M97),ISNUMBER(Training_Prod!M100)),Training_Prod!M97+Training_Prod!M100,"SLO 不可達")</f>
        <v>717492.058262058</v>
      </c>
      <c r="N105" s="62" t="n">
        <f aca="false">IF(AND(ISNUMBER(Training_Prod!N97),ISNUMBER(Training_Prod!N100)),Training_Prod!N97+Training_Prod!N100,"SLO 不可達")</f>
        <v>1105707.71698531</v>
      </c>
      <c r="O105" s="62" t="n">
        <f aca="false">IF(AND(ISNUMBER(Training_Prod!O97),ISNUMBER(Training_Prod!O100)),Training_Prod!O97+Training_Prod!O100,"SLO 不可達")</f>
        <v>130382.958870473</v>
      </c>
      <c r="P105" s="62" t="n">
        <f aca="false">IF(AND(ISNUMBER(Training_Prod!P97),ISNUMBER(Training_Prod!P100)),Training_Prod!P97+Training_Prod!P100,"SLO 不可達")</f>
        <v>261956.59903382</v>
      </c>
      <c r="Q105" s="62" t="n">
        <f aca="false">IF(AND(ISNUMBER(Training_Prod!Q97),ISNUMBER(Training_Prod!Q100)),Training_Prod!Q97+Training_Prod!Q100,"SLO 不可達")</f>
        <v>403654.498918959</v>
      </c>
      <c r="S105" s="62" t="n">
        <f aca="false">IF(AND(ISNUMBER(Training_Prod!S97),ISNUMBER(Training_Prod!S100)),Training_Prod!S97+Training_Prod!S100,"SLO 不可達")</f>
        <v>3812019.77251572</v>
      </c>
      <c r="T105" s="62" t="n">
        <f aca="false">IF(AND(ISNUMBER(Training_Prod!T97),ISNUMBER(Training_Prod!T100)),Training_Prod!T97+Training_Prod!T100,"SLO 不可達")</f>
        <v>7658315.07789158</v>
      </c>
      <c r="U105" s="62" t="n">
        <f aca="false">IF(AND(ISNUMBER(Training_Prod!U97),ISNUMBER(Training_Prod!U100)),Training_Prod!U97+Training_Prod!U100,"SLO 不可達")</f>
        <v>11803314.6687264</v>
      </c>
      <c r="V105" s="62" t="n">
        <f aca="false">IF(AND(ISNUMBER(Training_Prod!V97),ISNUMBER(Training_Prod!V100)),Training_Prod!V97+Training_Prod!V100,"SLO 不可達")</f>
        <v>820384.117063266</v>
      </c>
      <c r="W105" s="62" t="n">
        <f aca="false">IF(AND(ISNUMBER(Training_Prod!W97),ISNUMBER(Training_Prod!W100)),Training_Prod!W97+Training_Prod!W100,"SLO 不可達")</f>
        <v>1648115.37671739</v>
      </c>
      <c r="X105" s="62" t="n">
        <f aca="false">IF(AND(ISNUMBER(Training_Prod!X97),ISNUMBER(Training_Prod!X100)),Training_Prod!X97+Training_Prod!X100,"SLO 不可達")</f>
        <v>2540028.48827918</v>
      </c>
      <c r="Y105" s="62" t="n">
        <f aca="false">IF(AND(ISNUMBER(Training_Prod!Y97),ISNUMBER(Training_Prod!Y100)),Training_Prod!Y97+Training_Prod!Y100,"SLO 不可達")</f>
        <v>567443.983911165</v>
      </c>
      <c r="Z105" s="62" t="n">
        <f aca="false">IF(AND(ISNUMBER(Training_Prod!Z97),ISNUMBER(Training_Prod!Z100)),Training_Prod!Z97+Training_Prod!Z100,"SLO 不可達")</f>
        <v>1139786.0628829</v>
      </c>
      <c r="AA105" s="62" t="n">
        <f aca="false">IF(AND(ISNUMBER(Training_Prod!AA97),ISNUMBER(Training_Prod!AA100)),Training_Prod!AA97+Training_Prod!AA100,"SLO 不可達")</f>
        <v>1756968.16704665</v>
      </c>
      <c r="AB105" s="62" t="n">
        <f aca="false">IF(AND(ISNUMBER(Training_Prod!AB97),ISNUMBER(Training_Prod!AB100)),Training_Prod!AB97+Training_Prod!AB100,"SLO 不可達")</f>
        <v>295076.931280297</v>
      </c>
      <c r="AC105" s="62" t="n">
        <f aca="false">IF(AND(ISNUMBER(Training_Prod!AC97),ISNUMBER(Training_Prod!AC100)),Training_Prod!AC97+Training_Prod!AC100,"SLO 不可達")</f>
        <v>592838.408093639</v>
      </c>
      <c r="AD105" s="62" t="n">
        <f aca="false">IF(AND(ISNUMBER(Training_Prod!AD97),ISNUMBER(Training_Prod!AD100)),Training_Prod!AD97+Training_Prod!AD100,"SLO 不可達")</f>
        <v>913542.128737021</v>
      </c>
      <c r="AE105" s="62" t="n">
        <f aca="false">IF(AND(ISNUMBER(Training_Prod!AE97),ISNUMBER(Training_Prod!AE100)),Training_Prod!AE97+Training_Prod!AE100,"SLO 不可達")</f>
        <v>107805.489254781</v>
      </c>
      <c r="AF105" s="62" t="n">
        <f aca="false">IF(AND(ISNUMBER(Training_Prod!AF97),ISNUMBER(Training_Prod!AF100)),Training_Prod!AF97+Training_Prod!AF100,"SLO 不可達")</f>
        <v>216605.67220172</v>
      </c>
      <c r="AG105" s="62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0" t="s">
        <v>1086</v>
      </c>
      <c r="B106" s="58" t="s">
        <v>1023</v>
      </c>
      <c r="C106" s="167" t="n">
        <f aca="false">IF(AND(ISNUMBER(Training_Prod!C104),ISNUMBER(Training_Prod!C105)),Training!C103+Training_Prod!C104+Training_Prod!C105,"SLO 不可達")</f>
        <v>8331835.06461192</v>
      </c>
      <c r="D106" s="167" t="n">
        <f aca="false">IF(AND(ISNUMBER(Training_Prod!D104),ISNUMBER(Training_Prod!D105)),Training!D103+Training_Prod!D104+Training_Prod!D105,"SLO 不可達")</f>
        <v>22621129.1188858</v>
      </c>
      <c r="E106" s="167" t="n">
        <f aca="false">IF(AND(ISNUMBER(Training_Prod!E104),ISNUMBER(Training_Prod!E105)),Training!E103+Training_Prod!E104+Training_Prod!E105,"SLO 不可達")</f>
        <v>136579116.213744</v>
      </c>
      <c r="F106" s="167" t="n">
        <f aca="false">IF(AND(ISNUMBER(Training_Prod!F104),ISNUMBER(Training_Prod!F105)),Training!F103+Training_Prod!F104+Training_Prod!F105,"SLO 不可達")</f>
        <v>2283362.27691392</v>
      </c>
      <c r="G106" s="167" t="n">
        <f aca="false">IF(AND(ISNUMBER(Training_Prod!G104),ISNUMBER(Training_Prod!G105)),Training!G103+Training_Prod!G104+Training_Prod!G105,"SLO 不可達")</f>
        <v>6614051.58756521</v>
      </c>
      <c r="H106" s="167" t="n">
        <f aca="false">IF(AND(ISNUMBER(Training_Prod!H104),ISNUMBER(Training_Prod!H105)),Training!H103+Training_Prod!H104+Training_Prod!H105,"SLO 不可達")</f>
        <v>41229470.8624703</v>
      </c>
      <c r="I106" s="167" t="n">
        <f aca="false">IF(AND(ISNUMBER(Training_Prod!I104),ISNUMBER(Training_Prod!I105)),Training!I103+Training_Prod!I104+Training_Prod!I105,"SLO 不可達")</f>
        <v>1916120.19054511</v>
      </c>
      <c r="J106" s="167" t="n">
        <f aca="false">IF(AND(ISNUMBER(Training_Prod!J104),ISNUMBER(Training_Prod!J105)),Training!J103+Training_Prod!J104+Training_Prod!J105,"SLO 不可達")</f>
        <v>5772061.76696223</v>
      </c>
      <c r="K106" s="167" t="n">
        <f aca="false">IF(AND(ISNUMBER(Training_Prod!K104),ISNUMBER(Training_Prod!K105)),Training!K103+Training_Prod!K104+Training_Prod!K105,"SLO 不可達")</f>
        <v>36751170.23555</v>
      </c>
      <c r="L106" s="167" t="n">
        <f aca="false">IF(AND(ISNUMBER(Training_Prod!L104),ISNUMBER(Training_Prod!L105)),Training!L103+Training_Prod!L104+Training_Prod!L105,"SLO 不可達")</f>
        <v>777335.314438309</v>
      </c>
      <c r="M106" s="167" t="n">
        <f aca="false">IF(AND(ISNUMBER(Training_Prod!M104),ISNUMBER(Training_Prod!M105)),Training!M103+Training_Prod!M104+Training_Prod!M105,"SLO 不可達")</f>
        <v>2216890.49599468</v>
      </c>
      <c r="N106" s="167" t="n">
        <f aca="false">IF(AND(ISNUMBER(Training_Prod!N104),ISNUMBER(Training_Prod!N105)),Training!N103+Training_Prod!N104+Training_Prod!N105,"SLO 不可達")</f>
        <v>13692168.7202768</v>
      </c>
      <c r="O106" s="167" t="n">
        <f aca="false">IF(AND(ISNUMBER(Training_Prod!O104),ISNUMBER(Training_Prod!O105)),Training!O103+Training_Prod!O104+Training_Prod!O105,"SLO 不可達")</f>
        <v>331790.431232589</v>
      </c>
      <c r="P106" s="167" t="n">
        <f aca="false">IF(AND(ISNUMBER(Training_Prod!P104),ISNUMBER(Training_Prod!P105)),Training!P103+Training_Prod!P104+Training_Prod!P105,"SLO 不可達")</f>
        <v>979623.967925788</v>
      </c>
      <c r="Q106" s="167" t="n">
        <f aca="false">IF(AND(ISNUMBER(Training_Prod!Q104),ISNUMBER(Training_Prod!Q105)),Training!Q103+Training_Prod!Q104+Training_Prod!Q105,"SLO 不可達")</f>
        <v>6141987.95167579</v>
      </c>
      <c r="S106" s="167" t="n">
        <f aca="false">IF(AND(ISNUMBER(Training_Prod!S104),ISNUMBER(Training_Prod!S105)),Training!C103+Training_Prod!S104+Training_Prod!S105,"SLO 不可達")</f>
        <v>7292069.45600863</v>
      </c>
      <c r="T106" s="167" t="n">
        <f aca="false">IF(AND(ISNUMBER(Training_Prod!T104),ISNUMBER(Training_Prod!T105)),Training!D103+Training_Prod!T104+Training_Prod!T105,"SLO 不可達")</f>
        <v>20252042.4874034</v>
      </c>
      <c r="U106" s="167" t="n">
        <f aca="false">IF(AND(ISNUMBER(Training_Prod!U104),ISNUMBER(Training_Prod!U105)),Training!E103+Training_Prod!U104+Training_Prod!U105,"SLO 不可達")</f>
        <v>123323821.116157</v>
      </c>
      <c r="V106" s="167" t="n">
        <f aca="false">IF(AND(ISNUMBER(Training_Prod!V104),ISNUMBER(Training_Prod!V105)),Training!F103+Training_Prod!V104+Training_Prod!V105,"SLO 不可達")</f>
        <v>2079780.169416</v>
      </c>
      <c r="W106" s="167" t="n">
        <f aca="false">IF(AND(ISNUMBER(Training_Prod!W104),ISNUMBER(Training_Prod!W105)),Training!G103+Training_Prod!W104+Training_Prod!W105,"SLO 不可達")</f>
        <v>6152335.11648947</v>
      </c>
      <c r="X106" s="167" t="n">
        <f aca="false">IF(AND(ISNUMBER(Training_Prod!X104),ISNUMBER(Training_Prod!X105)),Training!H103+Training_Prod!X104+Training_Prod!X105,"SLO 不可達")</f>
        <v>38678967.4074746</v>
      </c>
      <c r="Y106" s="167" t="n">
        <f aca="false">IF(AND(ISNUMBER(Training_Prod!Y104),ISNUMBER(Training_Prod!Y105)),Training!I103+Training_Prod!Y104+Training_Prod!Y105,"SLO 不可達")</f>
        <v>1775249.94775683</v>
      </c>
      <c r="Z106" s="167" t="n">
        <f aca="false">IF(AND(ISNUMBER(Training_Prod!Z104),ISNUMBER(Training_Prod!Z105)),Training!J103+Training_Prod!Z104+Training_Prod!Z105,"SLO 不可達")</f>
        <v>5453953.11066573</v>
      </c>
      <c r="AA106" s="167" t="n">
        <f aca="false">IF(AND(ISNUMBER(Training_Prod!AA104),ISNUMBER(Training_Prod!AA105)),Training!K103+Training_Prod!AA104+Training_Prod!AA105,"SLO 不可達")</f>
        <v>34975510.1307514</v>
      </c>
      <c r="AB106" s="167" t="n">
        <f aca="false">IF(AND(ISNUMBER(Training_Prod!AB104),ISNUMBER(Training_Prod!AB105)),Training!L103+Training_Prod!AB104+Training_Prod!AB105,"SLO 不可達")</f>
        <v>704197.648874947</v>
      </c>
      <c r="AC106" s="167" t="n">
        <f aca="false">IF(AND(ISNUMBER(Training_Prod!AC104),ISNUMBER(Training_Prod!AC105)),Training!M103+Training_Prod!AC104+Training_Prod!AC105,"SLO 不可達")</f>
        <v>2051289.25958755</v>
      </c>
      <c r="AD106" s="167" t="n">
        <f aca="false">IF(AND(ISNUMBER(Training_Prod!AD104),ISNUMBER(Training_Prod!AD105)),Training!N103+Training_Prod!AD104+Training_Prod!AD105,"SLO 不可達")</f>
        <v>12784087.465584</v>
      </c>
      <c r="AE106" s="167" t="n">
        <f aca="false">IF(AND(ISNUMBER(Training_Prod!AE104),ISNUMBER(Training_Prod!AE105)),Training!O103+Training_Prod!AE104+Training_Prod!AE105,"SLO 不可達")</f>
        <v>305060.599619606</v>
      </c>
      <c r="AF106" s="167" t="n">
        <f aca="false">IF(AND(ISNUMBER(Training_Prod!AF104),ISNUMBER(Training_Prod!AF105)),Training!P103+Training_Prod!AF104+Training_Prod!AF105,"SLO 不可達")</f>
        <v>919050.37142924</v>
      </c>
      <c r="AG106" s="167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0" t="s">
        <v>1100</v>
      </c>
      <c r="B120" s="58" t="s">
        <v>1023</v>
      </c>
      <c r="C120" s="167" t="n">
        <f aca="false">IF(AND(ISNUMBER(Training_Prod!C106)),Training_Prod!C106*Training!C119,"SLO 不可達")</f>
        <v>66654680.5168953</v>
      </c>
      <c r="D120" s="167" t="n">
        <f aca="false">IF(AND(ISNUMBER(Training_Prod!D106)),Training_Prod!D106*Training!D119,"SLO 不可達")</f>
        <v>180969032.951087</v>
      </c>
      <c r="E120" s="167" t="n">
        <f aca="false">IF(AND(ISNUMBER(Training_Prod!E106)),Training_Prod!E106*Training!E119,"SLO 不可達")</f>
        <v>1092632929.70995</v>
      </c>
      <c r="F120" s="167" t="n">
        <f aca="false">IF(AND(ISNUMBER(Training_Prod!F106)),Training_Prod!F106*Training!F119,"SLO 不可達")</f>
        <v>18266898.2153113</v>
      </c>
      <c r="G120" s="167" t="n">
        <f aca="false">IF(AND(ISNUMBER(Training_Prod!G106)),Training_Prod!G106*Training!G119,"SLO 不可達")</f>
        <v>52912412.7005217</v>
      </c>
      <c r="H120" s="167" t="n">
        <f aca="false">IF(AND(ISNUMBER(Training_Prod!H106)),Training_Prod!H106*Training!H119,"SLO 不可達")</f>
        <v>329835766.899762</v>
      </c>
      <c r="I120" s="167" t="n">
        <f aca="false">IF(AND(ISNUMBER(Training_Prod!I106)),Training_Prod!I106*Training!I119,"SLO 不可達")</f>
        <v>15328961.5243609</v>
      </c>
      <c r="J120" s="167" t="n">
        <f aca="false">IF(AND(ISNUMBER(Training_Prod!J106)),Training_Prod!J106*Training!J119,"SLO 不可達")</f>
        <v>46176494.1356978</v>
      </c>
      <c r="K120" s="167" t="n">
        <f aca="false">IF(AND(ISNUMBER(Training_Prod!K106)),Training_Prod!K106*Training!K119,"SLO 不可達")</f>
        <v>294009361.8844</v>
      </c>
      <c r="L120" s="167" t="n">
        <f aca="false">IF(AND(ISNUMBER(Training_Prod!L106)),Training_Prod!L106*Training!L119,"SLO 不可達")</f>
        <v>6218682.51550648</v>
      </c>
      <c r="M120" s="167" t="n">
        <f aca="false">IF(AND(ISNUMBER(Training_Prod!M106)),Training_Prod!M106*Training!M119,"SLO 不可達")</f>
        <v>17735123.9679574</v>
      </c>
      <c r="N120" s="167" t="n">
        <f aca="false">IF(AND(ISNUMBER(Training_Prod!N106)),Training_Prod!N106*Training!N119,"SLO 不可達")</f>
        <v>109537349.762214</v>
      </c>
      <c r="O120" s="167" t="n">
        <f aca="false">IF(AND(ISNUMBER(Training_Prod!O106)),Training_Prod!O106*Training!O119,"SLO 不可達")</f>
        <v>2654323.44986071</v>
      </c>
      <c r="P120" s="167" t="n">
        <f aca="false">IF(AND(ISNUMBER(Training_Prod!P106)),Training_Prod!P106*Training!P119,"SLO 不可達")</f>
        <v>7836991.7434063</v>
      </c>
      <c r="Q120" s="167" t="n">
        <f aca="false">IF(AND(ISNUMBER(Training_Prod!Q106)),Training_Prod!Q106*Training!Q119,"SLO 不可達")</f>
        <v>49135903.6134063</v>
      </c>
      <c r="S120" s="167" t="n">
        <f aca="false">IF(AND(ISNUMBER(Training_Prod!S106)),Training_Prod!S106*Training!C119,"SLO 不可達")</f>
        <v>58336555.6480691</v>
      </c>
      <c r="T120" s="167" t="n">
        <f aca="false">IF(AND(ISNUMBER(Training_Prod!T106)),Training_Prod!T106*Training!D119,"SLO 不可達")</f>
        <v>162016339.899227</v>
      </c>
      <c r="U120" s="167" t="n">
        <f aca="false">IF(AND(ISNUMBER(Training_Prod!U106)),Training_Prod!U106*Training!E119,"SLO 不可達")</f>
        <v>986590568.929256</v>
      </c>
      <c r="V120" s="167" t="n">
        <f aca="false">IF(AND(ISNUMBER(Training_Prod!V106)),Training_Prod!V106*Training!F119,"SLO 不可達")</f>
        <v>16638241.355328</v>
      </c>
      <c r="W120" s="167" t="n">
        <f aca="false">IF(AND(ISNUMBER(Training_Prod!W106)),Training_Prod!W106*Training!G119,"SLO 不可達")</f>
        <v>49218680.9319158</v>
      </c>
      <c r="X120" s="167" t="n">
        <f aca="false">IF(AND(ISNUMBER(Training_Prod!X106)),Training_Prod!X106*Training!H119,"SLO 不可達")</f>
        <v>309431739.259797</v>
      </c>
      <c r="Y120" s="167" t="n">
        <f aca="false">IF(AND(ISNUMBER(Training_Prod!Y106)),Training_Prod!Y106*Training!I119,"SLO 不可達")</f>
        <v>14201999.5820546</v>
      </c>
      <c r="Z120" s="167" t="n">
        <f aca="false">IF(AND(ISNUMBER(Training_Prod!Z106)),Training_Prod!Z106*Training!J119,"SLO 不可達")</f>
        <v>43631624.8853258</v>
      </c>
      <c r="AA120" s="167" t="n">
        <f aca="false">IF(AND(ISNUMBER(Training_Prod!AA106)),Training_Prod!AA106*Training!K119,"SLO 不可達")</f>
        <v>279804081.046011</v>
      </c>
      <c r="AB120" s="167" t="n">
        <f aca="false">IF(AND(ISNUMBER(Training_Prod!AB106)),Training_Prod!AB106*Training!L119,"SLO 不可達")</f>
        <v>5633581.19099958</v>
      </c>
      <c r="AC120" s="167" t="n">
        <f aca="false">IF(AND(ISNUMBER(Training_Prod!AC106)),Training_Prod!AC106*Training!M119,"SLO 不可達")</f>
        <v>16410314.0767004</v>
      </c>
      <c r="AD120" s="167" t="n">
        <f aca="false">IF(AND(ISNUMBER(Training_Prod!AD106)),Training_Prod!AD106*Training!N119,"SLO 不可達")</f>
        <v>102272699.724672</v>
      </c>
      <c r="AE120" s="167" t="n">
        <f aca="false">IF(AND(ISNUMBER(Training_Prod!AE106)),Training_Prod!AE106*Training!O119,"SLO 不可達")</f>
        <v>2440484.79695685</v>
      </c>
      <c r="AF120" s="167" t="n">
        <f aca="false">IF(AND(ISNUMBER(Training_Prod!AF106)),Training_Prod!AF106*Training!P119,"SLO 不可達")</f>
        <v>7352402.97143392</v>
      </c>
      <c r="AG120" s="167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7" t="s">
        <v>2367</v>
      </c>
    </row>
    <row r="2" customFormat="false" ht="15" hidden="false" customHeight="false" outlineLevel="0" collapsed="false">
      <c r="A2" s="73" t="s">
        <v>2368</v>
      </c>
    </row>
    <row r="3" customFormat="false" ht="15" hidden="false" customHeight="false" outlineLevel="0" collapsed="false">
      <c r="S3" s="59" t="s">
        <v>2360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89" t="n">
        <f aca="false">Unit_Cost!C6</f>
        <v>1</v>
      </c>
      <c r="D6" s="89" t="n">
        <f aca="false">Unit_Cost!D6</f>
        <v>1</v>
      </c>
      <c r="E6" s="89" t="n">
        <f aca="false">Unit_Cost!E6</f>
        <v>1</v>
      </c>
      <c r="F6" s="89" t="n">
        <f aca="false">Unit_Cost!F6</f>
        <v>2</v>
      </c>
      <c r="G6" s="89" t="n">
        <f aca="false">Unit_Cost!G6</f>
        <v>2</v>
      </c>
      <c r="H6" s="89" t="n">
        <f aca="false">Unit_Cost!H6</f>
        <v>2</v>
      </c>
      <c r="I6" s="89" t="n">
        <f aca="false">Unit_Cost!I6</f>
        <v>3</v>
      </c>
      <c r="J6" s="89" t="n">
        <f aca="false">Unit_Cost!J6</f>
        <v>3</v>
      </c>
      <c r="K6" s="89" t="n">
        <f aca="false">Unit_Cost!K6</f>
        <v>3</v>
      </c>
      <c r="L6" s="89" t="n">
        <f aca="false">Unit_Cost!L6</f>
        <v>4</v>
      </c>
      <c r="M6" s="89" t="n">
        <f aca="false">Unit_Cost!M6</f>
        <v>4</v>
      </c>
      <c r="N6" s="89" t="n">
        <f aca="false">Unit_Cost!N6</f>
        <v>4</v>
      </c>
      <c r="O6" s="89" t="n">
        <f aca="false">Unit_Cost!O6</f>
        <v>5</v>
      </c>
      <c r="P6" s="89" t="n">
        <f aca="false">Unit_Cost!P6</f>
        <v>5</v>
      </c>
      <c r="Q6" s="89" t="n">
        <f aca="false">Unit_Cost!Q6</f>
        <v>5</v>
      </c>
      <c r="S6" s="89" t="n">
        <f aca="false">Unit_Cost!C6</f>
        <v>1</v>
      </c>
      <c r="T6" s="89" t="n">
        <f aca="false">Unit_Cost!D6</f>
        <v>1</v>
      </c>
      <c r="U6" s="89" t="n">
        <f aca="false">Unit_Cost!E6</f>
        <v>1</v>
      </c>
      <c r="V6" s="89" t="n">
        <f aca="false">Unit_Cost!F6</f>
        <v>2</v>
      </c>
      <c r="W6" s="89" t="n">
        <f aca="false">Unit_Cost!G6</f>
        <v>2</v>
      </c>
      <c r="X6" s="89" t="n">
        <f aca="false">Unit_Cost!H6</f>
        <v>2</v>
      </c>
      <c r="Y6" s="89" t="n">
        <f aca="false">Unit_Cost!I6</f>
        <v>3</v>
      </c>
      <c r="Z6" s="89" t="n">
        <f aca="false">Unit_Cost!J6</f>
        <v>3</v>
      </c>
      <c r="AA6" s="89" t="n">
        <f aca="false">Unit_Cost!K6</f>
        <v>3</v>
      </c>
      <c r="AB6" s="89" t="n">
        <f aca="false">Unit_Cost!L6</f>
        <v>4</v>
      </c>
      <c r="AC6" s="89" t="n">
        <f aca="false">Unit_Cost!M6</f>
        <v>4</v>
      </c>
      <c r="AD6" s="89" t="n">
        <f aca="false">Unit_Cost!N6</f>
        <v>4</v>
      </c>
      <c r="AE6" s="89" t="n">
        <f aca="false">Unit_Cost!O6</f>
        <v>5</v>
      </c>
      <c r="AF6" s="89" t="n">
        <f aca="false">Unit_Cost!P6</f>
        <v>5</v>
      </c>
      <c r="AG6" s="89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1" t="s">
        <v>855</v>
      </c>
      <c r="B13" s="58" t="s">
        <v>793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1" t="s">
        <v>857</v>
      </c>
      <c r="B15" s="58" t="s">
        <v>793</v>
      </c>
      <c r="C15" s="98" t="n">
        <f aca="false">INDEX(Perf_Prod!$C$103:$Q$103,3*(Unit_Cost!C$6-1)+1)</f>
        <v>3500.97938726308</v>
      </c>
      <c r="D15" s="98" t="n">
        <f aca="false">INDEX(Perf_Prod!$C$103:$Q$103,3*(Unit_Cost!D$6-1)+1)</f>
        <v>3500.97938726308</v>
      </c>
      <c r="E15" s="98" t="n">
        <f aca="false">INDEX(Perf_Prod!$C$103:$Q$103,3*(Unit_Cost!E$6-1)+1)</f>
        <v>3500.97938726308</v>
      </c>
      <c r="F15" s="98" t="n">
        <f aca="false">INDEX(Perf_Prod!$C$103:$Q$103,3*(Unit_Cost!F$6-1)+1)</f>
        <v>382.784987381678</v>
      </c>
      <c r="G15" s="98" t="n">
        <f aca="false">INDEX(Perf_Prod!$C$103:$Q$103,3*(Unit_Cost!G$6-1)+1)</f>
        <v>382.784987381678</v>
      </c>
      <c r="H15" s="98" t="n">
        <f aca="false">INDEX(Perf_Prod!$C$103:$Q$103,3*(Unit_Cost!H$6-1)+1)</f>
        <v>382.784987381678</v>
      </c>
      <c r="I15" s="98" t="n">
        <f aca="false">INDEX(Perf_Prod!$C$103:$Q$103,3*(Unit_Cost!I$6-1)+1)</f>
        <v>255.189991587785</v>
      </c>
      <c r="J15" s="98" t="n">
        <f aca="false">INDEX(Perf_Prod!$C$103:$Q$103,3*(Unit_Cost!J$6-1)+1)</f>
        <v>255.189991587785</v>
      </c>
      <c r="K15" s="98" t="n">
        <f aca="false">INDEX(Perf_Prod!$C$103:$Q$103,3*(Unit_Cost!K$6-1)+1)</f>
        <v>255.189991587785</v>
      </c>
      <c r="L15" s="98" t="n">
        <f aca="false">INDEX(Perf_Prod!$C$103:$Q$103,3*(Unit_Cost!L$6-1)+1)</f>
        <v>101.841168022192</v>
      </c>
      <c r="M15" s="98" t="n">
        <f aca="false">INDEX(Perf_Prod!$C$103:$Q$103,3*(Unit_Cost!M$6-1)+1)</f>
        <v>101.841168022192</v>
      </c>
      <c r="N15" s="98" t="n">
        <f aca="false">INDEX(Perf_Prod!$C$103:$Q$103,3*(Unit_Cost!N$6-1)+1)</f>
        <v>101.841168022192</v>
      </c>
      <c r="O15" s="98" t="n">
        <f aca="false">INDEX(Perf_Prod!$C$103:$Q$103,3*(Unit_Cost!O$6-1)+1)</f>
        <v>49.9854025436179</v>
      </c>
      <c r="P15" s="98" t="n">
        <f aca="false">INDEX(Perf_Prod!$C$103:$Q$103,3*(Unit_Cost!P$6-1)+1)</f>
        <v>49.9854025436179</v>
      </c>
      <c r="Q15" s="98" t="n">
        <f aca="false">INDEX(Perf_Prod!$C$103:$Q$103,3*(Unit_Cost!Q$6-1)+1)</f>
        <v>49.9854025436179</v>
      </c>
      <c r="S15" s="98" t="n">
        <f aca="false">INDEX(Perf_Prod!$S$103:$AG$103,3*(Unit_Cost!C$6-1)+1)</f>
        <v>2149.91739152173</v>
      </c>
      <c r="T15" s="98" t="n">
        <f aca="false">INDEX(Perf_Prod!$S$103:$AG$103,3*(Unit_Cost!D$6-1)+1)</f>
        <v>2149.91739152173</v>
      </c>
      <c r="U15" s="98" t="n">
        <f aca="false">INDEX(Perf_Prod!$S$103:$AG$103,3*(Unit_Cost!E$6-1)+1)</f>
        <v>2149.91739152173</v>
      </c>
      <c r="V15" s="98" t="n">
        <f aca="false">INDEX(Perf_Prod!$S$103:$AG$103,3*(Unit_Cost!F$6-1)+1)</f>
        <v>291.04887389608</v>
      </c>
      <c r="W15" s="98" t="n">
        <f aca="false">INDEX(Perf_Prod!$S$103:$AG$103,3*(Unit_Cost!G$6-1)+1)</f>
        <v>291.04887389608</v>
      </c>
      <c r="X15" s="98" t="n">
        <f aca="false">INDEX(Perf_Prod!$S$103:$AG$103,3*(Unit_Cost!H$6-1)+1)</f>
        <v>291.04887389608</v>
      </c>
      <c r="Y15" s="98" t="n">
        <f aca="false">INDEX(Perf_Prod!$S$103:$AG$103,3*(Unit_Cost!I$6-1)+1)</f>
        <v>194.032582597387</v>
      </c>
      <c r="Z15" s="98" t="n">
        <f aca="false">INDEX(Perf_Prod!$S$103:$AG$103,3*(Unit_Cost!J$6-1)+1)</f>
        <v>194.032582597387</v>
      </c>
      <c r="AA15" s="98" t="n">
        <f aca="false">INDEX(Perf_Prod!$S$103:$AG$103,3*(Unit_Cost!K$6-1)+1)</f>
        <v>194.032582597387</v>
      </c>
      <c r="AB15" s="98" t="n">
        <f aca="false">INDEX(Perf_Prod!$S$103:$AG$103,3*(Unit_Cost!L$6-1)+1)</f>
        <v>78.000625684729</v>
      </c>
      <c r="AC15" s="98" t="n">
        <f aca="false">INDEX(Perf_Prod!$S$103:$AG$103,3*(Unit_Cost!M$6-1)+1)</f>
        <v>78.000625684729</v>
      </c>
      <c r="AD15" s="98" t="n">
        <f aca="false">INDEX(Perf_Prod!$S$103:$AG$103,3*(Unit_Cost!N$6-1)+1)</f>
        <v>78.000625684729</v>
      </c>
      <c r="AE15" s="98" t="n">
        <f aca="false">INDEX(Perf_Prod!$S$103:$AG$103,3*(Unit_Cost!O$6-1)+1)</f>
        <v>38.3537418336927</v>
      </c>
      <c r="AF15" s="98" t="n">
        <f aca="false">INDEX(Perf_Prod!$S$103:$AG$103,3*(Unit_Cost!P$6-1)+1)</f>
        <v>38.3537418336927</v>
      </c>
      <c r="AG15" s="98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60" t="s">
        <v>858</v>
      </c>
      <c r="B16" s="58" t="s">
        <v>807</v>
      </c>
      <c r="C16" s="116" t="n">
        <f aca="false">Unit_Cost!C$8/3600*Unit_Cost_Prod!C13</f>
        <v>0.0454972167701083</v>
      </c>
      <c r="D16" s="116" t="n">
        <f aca="false">Unit_Cost!D$8/3600*Unit_Cost_Prod!D13</f>
        <v>0.0650064221254633</v>
      </c>
      <c r="E16" s="116" t="n">
        <f aca="false">Unit_Cost!E$8/3600*Unit_Cost_Prod!E13</f>
        <v>0.111639936606646</v>
      </c>
      <c r="F16" s="116" t="n">
        <f aca="false">Unit_Cost!F$8/3600*Unit_Cost_Prod!F13</f>
        <v>0.0062692257719205</v>
      </c>
      <c r="G16" s="116" t="n">
        <f aca="false">Unit_Cost!G$8/3600*Unit_Cost_Prod!G13</f>
        <v>0.00837073517666367</v>
      </c>
      <c r="H16" s="116" t="n">
        <f aca="false">Unit_Cost!H$8/3600*Unit_Cost_Prod!H13</f>
        <v>0.013576659542823</v>
      </c>
      <c r="I16" s="116" t="n">
        <f aca="false">Unit_Cost!I$8/3600*Unit_Cost_Prod!I13</f>
        <v>0.00548958603195948</v>
      </c>
      <c r="J16" s="116" t="n">
        <f aca="false">Unit_Cost!J$8/3600*Unit_Cost_Prod!J13</f>
        <v>0.00709011804726542</v>
      </c>
      <c r="K16" s="116" t="n">
        <f aca="false">Unit_Cost!K$8/3600*Unit_Cost_Prod!K13</f>
        <v>0.0120712716580734</v>
      </c>
      <c r="L16" s="116" t="n">
        <f aca="false">Unit_Cost!L$8/3600*Unit_Cost_Prod!L13</f>
        <v>0.00443201753513739</v>
      </c>
      <c r="M16" s="116" t="n">
        <f aca="false">Unit_Cost!M$8/3600*Unit_Cost_Prod!M13</f>
        <v>0.00569628508383258</v>
      </c>
      <c r="N16" s="116" t="n">
        <f aca="false">Unit_Cost!N$8/3600*Unit_Cost_Prod!N13</f>
        <v>0.00920252494764025</v>
      </c>
      <c r="O16" s="116" t="n">
        <f aca="false">Unit_Cost!O$8/3600*Unit_Cost_Prod!O13</f>
        <v>0.00352556777736313</v>
      </c>
      <c r="P16" s="116" t="n">
        <f aca="false">Unit_Cost!P$8/3600*Unit_Cost_Prod!P13</f>
        <v>0.00535837960987259</v>
      </c>
      <c r="Q16" s="116" t="n">
        <f aca="false">Unit_Cost!Q$8/3600*Unit_Cost_Prod!Q13</f>
        <v>0.00978194421983905</v>
      </c>
      <c r="S16" s="116" t="n">
        <f aca="false">Unit_Cost!C$8/3600*Unit_Cost_Prod!S13</f>
        <v>0.0386726342545921</v>
      </c>
      <c r="T16" s="116" t="n">
        <f aca="false">Unit_Cost!D$8/3600*Unit_Cost_Prod!T13</f>
        <v>0.0552554588066438</v>
      </c>
      <c r="U16" s="116" t="n">
        <f aca="false">Unit_Cost!E$8/3600*Unit_Cost_Prod!U13</f>
        <v>0.0948939461156487</v>
      </c>
      <c r="V16" s="116" t="n">
        <f aca="false">Unit_Cost!F$8/3600*Unit_Cost_Prod!V13</f>
        <v>0.00532884190613242</v>
      </c>
      <c r="W16" s="116" t="n">
        <f aca="false">Unit_Cost!G$8/3600*Unit_Cost_Prod!W13</f>
        <v>0.00711512490016412</v>
      </c>
      <c r="X16" s="116" t="n">
        <f aca="false">Unit_Cost!H$8/3600*Unit_Cost_Prod!X13</f>
        <v>0.0115401606113995</v>
      </c>
      <c r="Y16" s="116" t="n">
        <f aca="false">Unit_Cost!I$8/3600*Unit_Cost_Prod!Y13</f>
        <v>0.00466614812716556</v>
      </c>
      <c r="Z16" s="116" t="n">
        <f aca="false">Unit_Cost!J$8/3600*Unit_Cost_Prod!Z13</f>
        <v>0.00602660034017561</v>
      </c>
      <c r="AA16" s="116" t="n">
        <f aca="false">Unit_Cost!K$8/3600*Unit_Cost_Prod!AA13</f>
        <v>0.0102605809093624</v>
      </c>
      <c r="AB16" s="116" t="n">
        <f aca="false">Unit_Cost!L$8/3600*Unit_Cost_Prod!AB13</f>
        <v>0.00376721490486678</v>
      </c>
      <c r="AC16" s="116" t="n">
        <f aca="false">Unit_Cost!M$8/3600*Unit_Cost_Prod!AC13</f>
        <v>0.00484184232125769</v>
      </c>
      <c r="AD16" s="116" t="n">
        <f aca="false">Unit_Cost!N$8/3600*Unit_Cost_Prod!AD13</f>
        <v>0.00782214620549421</v>
      </c>
      <c r="AE16" s="116" t="n">
        <f aca="false">Unit_Cost!O$8/3600*Unit_Cost_Prod!AE13</f>
        <v>0.00299673261075866</v>
      </c>
      <c r="AF16" s="116" t="n">
        <f aca="false">Unit_Cost!P$8/3600*Unit_Cost_Prod!AF13</f>
        <v>0.0045546226683917</v>
      </c>
      <c r="AG16" s="116" t="n">
        <f aca="false">Unit_Cost!Q$8/3600*Unit_Cost_Prod!AG13</f>
        <v>0.00831465258686319</v>
      </c>
    </row>
    <row r="18" customFormat="false" ht="15" hidden="false" customHeight="false" outlineLevel="0" collapsed="false">
      <c r="A18" s="61" t="s">
        <v>860</v>
      </c>
      <c r="B18" s="58" t="s">
        <v>807</v>
      </c>
      <c r="C18" s="116" t="n">
        <f aca="false">IF(ISNUMBER(Unit_Cost_Prod!C15),Unit_Cost!C$8/3600*Unit_Cost_Prod!C15,"SLO 不可達")</f>
        <v>1.04994844474</v>
      </c>
      <c r="D18" s="116" t="n">
        <f aca="false">IF(ISNUMBER(Unit_Cost_Prod!D15),Unit_Cost!D$8/3600*Unit_Cost_Prod!D15,"SLO 不可達")</f>
        <v>1.50016631025185</v>
      </c>
      <c r="E18" s="116" t="n">
        <f aca="false">IF(ISNUMBER(Unit_Cost_Prod!E15),Unit_Cost!E$8/3600*Unit_Cost_Prod!E15,"SLO 不可達")</f>
        <v>2.57633732637533</v>
      </c>
      <c r="F18" s="116" t="n">
        <f aca="false">IF(ISNUMBER(Unit_Cost_Prod!F15),Unit_Cost!F$8/3600*Unit_Cost_Prod!F15,"SLO 不可達")</f>
        <v>0.159943319788345</v>
      </c>
      <c r="G18" s="116" t="n">
        <f aca="false">IF(ISNUMBER(Unit_Cost_Prod!G15),Unit_Cost!G$8/3600*Unit_Cost_Prod!G15,"SLO 不可達")</f>
        <v>0.213557977002722</v>
      </c>
      <c r="H18" s="116" t="n">
        <f aca="false">IF(ISNUMBER(Unit_Cost_Prod!H15),Unit_Cost!H$8/3600*Unit_Cost_Prod!H15,"SLO 不可達")</f>
        <v>0.346373871019486</v>
      </c>
      <c r="I18" s="116" t="n">
        <f aca="false">IF(ISNUMBER(Unit_Cost_Prod!I15),Unit_Cost!I$8/3600*Unit_Cost_Prod!I15,"SLO 不可達")</f>
        <v>0.140052798568516</v>
      </c>
      <c r="J18" s="116" t="n">
        <f aca="false">IF(ISNUMBER(Unit_Cost_Prod!J15),Unit_Cost!J$8/3600*Unit_Cost_Prod!J15,"SLO 不可達")</f>
        <v>0.180886294325224</v>
      </c>
      <c r="K18" s="116" t="n">
        <f aca="false">IF(ISNUMBER(Unit_Cost_Prod!K15),Unit_Cost!K$8/3600*Unit_Cost_Prod!K15,"SLO 不可達")</f>
        <v>0.307967735299438</v>
      </c>
      <c r="L18" s="116" t="n">
        <f aca="false">IF(ISNUMBER(Unit_Cost_Prod!L15),Unit_Cost!L$8/3600*Unit_Cost_Prod!L15,"SLO 不可達")</f>
        <v>0.105290741718836</v>
      </c>
      <c r="M18" s="116" t="n">
        <f aca="false">IF(ISNUMBER(Unit_Cost_Prod!M15),Unit_Cost!M$8/3600*Unit_Cost_Prod!M15,"SLO 不可達")</f>
        <v>0.135325746516949</v>
      </c>
      <c r="N18" s="116" t="n">
        <f aca="false">IF(ISNUMBER(Unit_Cost_Prod!N15),Unit_Cost!N$8/3600*Unit_Cost_Prod!N15,"SLO 不可達")</f>
        <v>0.218622934079411</v>
      </c>
      <c r="O18" s="116" t="n">
        <f aca="false">IF(ISNUMBER(Unit_Cost_Prod!O15),Unit_Cost!O$8/3600*Unit_Cost_Prod!O15,"SLO 不可達")</f>
        <v>0.0822181312210071</v>
      </c>
      <c r="P18" s="116" t="n">
        <f aca="false">IF(ISNUMBER(Unit_Cost_Prod!P15),Unit_Cost!P$8/3600*Unit_Cost_Prod!P15,"SLO 不可達")</f>
        <v>0.124960286035396</v>
      </c>
      <c r="Q18" s="116" t="n">
        <f aca="false">IF(ISNUMBER(Unit_Cost_Prod!Q15),Unit_Cost!Q$8/3600*Unit_Cost_Prod!Q15,"SLO 不可達")</f>
        <v>0.228120184960625</v>
      </c>
      <c r="S18" s="116" t="n">
        <f aca="false">IF(ISNUMBER(Unit_Cost_Prod!S15),Unit_Cost!C$8/3600*Unit_Cost_Prod!S15,"SLO 不可達")</f>
        <v>0.644763128214926</v>
      </c>
      <c r="T18" s="116" t="n">
        <f aca="false">IF(ISNUMBER(Unit_Cost_Prod!T15),Unit_Cost!D$8/3600*Unit_Cost_Prod!T15,"SLO 不可達")</f>
        <v>0.921237540649102</v>
      </c>
      <c r="U18" s="116" t="n">
        <f aca="false">IF(ISNUMBER(Unit_Cost_Prod!U15),Unit_Cost!E$8/3600*Unit_Cost_Prod!U15,"SLO 不可達")</f>
        <v>1.58210369491236</v>
      </c>
      <c r="V18" s="116" t="n">
        <f aca="false">IF(ISNUMBER(Unit_Cost_Prod!V15),Unit_Cost!F$8/3600*Unit_Cost_Prod!V15,"SLO 不可達")</f>
        <v>0.121612196523219</v>
      </c>
      <c r="W18" s="116" t="n">
        <f aca="false">IF(ISNUMBER(Unit_Cost_Prod!W15),Unit_Cost!G$8/3600*Unit_Cost_Prod!W15,"SLO 不可達")</f>
        <v>0.162377864250437</v>
      </c>
      <c r="X18" s="116" t="n">
        <f aca="false">IF(ISNUMBER(Unit_Cost_Prod!X15),Unit_Cost!H$8/3600*Unit_Cost_Prod!X15,"SLO 不可達")</f>
        <v>0.263363842445387</v>
      </c>
      <c r="Y18" s="116" t="n">
        <f aca="false">IF(ISNUMBER(Unit_Cost_Prod!Y15),Unit_Cost!I$8/3600*Unit_Cost_Prod!Y15,"SLO 不可達")</f>
        <v>0.106488526596046</v>
      </c>
      <c r="Z18" s="116" t="n">
        <f aca="false">IF(ISNUMBER(Unit_Cost_Prod!Z15),Unit_Cost!J$8/3600*Unit_Cost_Prod!Z15,"SLO 不可達")</f>
        <v>0.137536094679954</v>
      </c>
      <c r="AA18" s="116" t="n">
        <f aca="false">IF(ISNUMBER(Unit_Cost_Prod!AA15),Unit_Cost!K$8/3600*Unit_Cost_Prod!AA15,"SLO 不可達")</f>
        <v>0.234161906840545</v>
      </c>
      <c r="AB18" s="116" t="n">
        <f aca="false">IF(ISNUMBER(Unit_Cost_Prod!AB15),Unit_Cost!L$8/3600*Unit_Cost_Prod!AB15,"SLO 不可達")</f>
        <v>0.0806426702715034</v>
      </c>
      <c r="AC18" s="116" t="n">
        <f aca="false">IF(ISNUMBER(Unit_Cost_Prod!AC15),Unit_Cost!M$8/3600*Unit_Cost_Prod!AC15,"SLO 不可達")</f>
        <v>0.103646620561882</v>
      </c>
      <c r="AD18" s="116" t="n">
        <f aca="false">IF(ISNUMBER(Unit_Cost_Prod!AD15),Unit_Cost!N$8/3600*Unit_Cost_Prod!AD15,"SLO 不可達")</f>
        <v>0.167444325103472</v>
      </c>
      <c r="AE18" s="116" t="n">
        <f aca="false">IF(ISNUMBER(Unit_Cost_Prod!AE15),Unit_Cost!O$8/3600*Unit_Cost_Prod!AE15,"SLO 不可達")</f>
        <v>0.0630858774448701</v>
      </c>
      <c r="AF18" s="116" t="n">
        <f aca="false">IF(ISNUMBER(Unit_Cost_Prod!AF15),Unit_Cost!P$8/3600*Unit_Cost_Prod!AF15,"SLO 不可達")</f>
        <v>0.0958818836336032</v>
      </c>
      <c r="AG18" s="116" t="n">
        <f aca="false">IF(ISNUMBER(Unit_Cost_Prod!AG15),Unit_Cost!Q$8/3600*Unit_Cost_Prod!AG15,"SLO 不可達")</f>
        <v>0.175036355331926</v>
      </c>
    </row>
    <row r="26" customFormat="false" ht="15" hidden="false" customHeight="false" outlineLevel="0" collapsed="false">
      <c r="A26" s="61" t="s">
        <v>855</v>
      </c>
      <c r="B26" s="58" t="s">
        <v>793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1" t="s">
        <v>857</v>
      </c>
      <c r="B28" s="58" t="s">
        <v>793</v>
      </c>
      <c r="C28" s="98" t="n">
        <f aca="false">INDEX(Perf_Prod!$C$103:$Q$103,3*(Unit_Cost!C$6-1)+2)</f>
        <v>10966.2829128624</v>
      </c>
      <c r="D28" s="98" t="n">
        <f aca="false">INDEX(Perf_Prod!$C$103:$Q$103,3*(Unit_Cost!D$6-1)+2)</f>
        <v>10966.2829128624</v>
      </c>
      <c r="E28" s="98" t="n">
        <f aca="false">INDEX(Perf_Prod!$C$103:$Q$103,3*(Unit_Cost!E$6-1)+2)</f>
        <v>10966.2829128624</v>
      </c>
      <c r="F28" s="98" t="n">
        <f aca="false">INDEX(Perf_Prod!$C$103:$Q$103,3*(Unit_Cost!F$6-1)+2)</f>
        <v>1296.70484155172</v>
      </c>
      <c r="G28" s="98" t="n">
        <f aca="false">INDEX(Perf_Prod!$C$103:$Q$103,3*(Unit_Cost!G$6-1)+2)</f>
        <v>1296.70484155172</v>
      </c>
      <c r="H28" s="98" t="n">
        <f aca="false">INDEX(Perf_Prod!$C$103:$Q$103,3*(Unit_Cost!H$6-1)+2)</f>
        <v>1296.70484155172</v>
      </c>
      <c r="I28" s="98" t="n">
        <f aca="false">INDEX(Perf_Prod!$C$103:$Q$103,3*(Unit_Cost!I$6-1)+2)</f>
        <v>864.469894367812</v>
      </c>
      <c r="J28" s="98" t="n">
        <f aca="false">INDEX(Perf_Prod!$C$103:$Q$103,3*(Unit_Cost!J$6-1)+2)</f>
        <v>864.469894367812</v>
      </c>
      <c r="K28" s="98" t="n">
        <f aca="false">INDEX(Perf_Prod!$C$103:$Q$103,3*(Unit_Cost!K$6-1)+2)</f>
        <v>864.469894367812</v>
      </c>
      <c r="L28" s="98" t="n">
        <f aca="false">INDEX(Perf_Prod!$C$103:$Q$103,3*(Unit_Cost!L$6-1)+2)</f>
        <v>313.042470405803</v>
      </c>
      <c r="M28" s="98" t="n">
        <f aca="false">INDEX(Perf_Prod!$C$103:$Q$103,3*(Unit_Cost!M$6-1)+2)</f>
        <v>313.042470405803</v>
      </c>
      <c r="N28" s="98" t="n">
        <f aca="false">INDEX(Perf_Prod!$C$103:$Q$103,3*(Unit_Cost!N$6-1)+2)</f>
        <v>313.042470405803</v>
      </c>
      <c r="O28" s="98" t="n">
        <f aca="false">INDEX(Perf_Prod!$C$103:$Q$103,3*(Unit_Cost!O$6-1)+2)</f>
        <v>149.739492131963</v>
      </c>
      <c r="P28" s="98" t="n">
        <f aca="false">INDEX(Perf_Prod!$C$103:$Q$103,3*(Unit_Cost!P$6-1)+2)</f>
        <v>149.739492131963</v>
      </c>
      <c r="Q28" s="98" t="n">
        <f aca="false">INDEX(Perf_Prod!$C$103:$Q$103,3*(Unit_Cost!Q$6-1)+2)</f>
        <v>149.739492131963</v>
      </c>
      <c r="S28" s="98" t="n">
        <f aca="false">INDEX(Perf_Prod!$S$103:$AG$103,3*(Unit_Cost!C$6-1)+2)</f>
        <v>7378.44356582218</v>
      </c>
      <c r="T28" s="98" t="n">
        <f aca="false">INDEX(Perf_Prod!$S$103:$AG$103,3*(Unit_Cost!D$6-1)+2)</f>
        <v>7378.44356582218</v>
      </c>
      <c r="U28" s="98" t="n">
        <f aca="false">INDEX(Perf_Prod!$S$103:$AG$103,3*(Unit_Cost!E$6-1)+2)</f>
        <v>7378.44356582218</v>
      </c>
      <c r="V28" s="98" t="n">
        <f aca="false">INDEX(Perf_Prod!$S$103:$AG$103,3*(Unit_Cost!F$6-1)+2)</f>
        <v>1013.60270124925</v>
      </c>
      <c r="W28" s="98" t="n">
        <f aca="false">INDEX(Perf_Prod!$S$103:$AG$103,3*(Unit_Cost!G$6-1)+2)</f>
        <v>1013.60270124925</v>
      </c>
      <c r="X28" s="98" t="n">
        <f aca="false">INDEX(Perf_Prod!$S$103:$AG$103,3*(Unit_Cost!H$6-1)+2)</f>
        <v>1013.60270124925</v>
      </c>
      <c r="Y28" s="98" t="n">
        <f aca="false">INDEX(Perf_Prod!$S$103:$AG$103,3*(Unit_Cost!I$6-1)+2)</f>
        <v>675.735134166168</v>
      </c>
      <c r="Z28" s="98" t="n">
        <f aca="false">INDEX(Perf_Prod!$S$103:$AG$103,3*(Unit_Cost!J$6-1)+2)</f>
        <v>675.735134166168</v>
      </c>
      <c r="AA28" s="98" t="n">
        <f aca="false">INDEX(Perf_Prod!$S$103:$AG$103,3*(Unit_Cost!K$6-1)+2)</f>
        <v>675.735134166168</v>
      </c>
      <c r="AB28" s="98" t="n">
        <f aca="false">INDEX(Perf_Prod!$S$103:$AG$103,3*(Unit_Cost!L$6-1)+2)</f>
        <v>247.785926826261</v>
      </c>
      <c r="AC28" s="98" t="n">
        <f aca="false">INDEX(Perf_Prod!$S$103:$AG$103,3*(Unit_Cost!M$6-1)+2)</f>
        <v>247.785926826261</v>
      </c>
      <c r="AD28" s="98" t="n">
        <f aca="false">INDEX(Perf_Prod!$S$103:$AG$103,3*(Unit_Cost!N$6-1)+2)</f>
        <v>247.785926826261</v>
      </c>
      <c r="AE28" s="98" t="n">
        <f aca="false">INDEX(Perf_Prod!$S$103:$AG$103,3*(Unit_Cost!O$6-1)+2)</f>
        <v>118.879183801455</v>
      </c>
      <c r="AF28" s="98" t="n">
        <f aca="false">INDEX(Perf_Prod!$S$103:$AG$103,3*(Unit_Cost!P$6-1)+2)</f>
        <v>118.879183801455</v>
      </c>
      <c r="AG28" s="98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60" t="s">
        <v>858</v>
      </c>
      <c r="B29" s="58" t="s">
        <v>807</v>
      </c>
      <c r="C29" s="116" t="n">
        <f aca="false">Unit_Cost!C$8/3600*Unit_Cost_Prod!C26</f>
        <v>0.157911361420697</v>
      </c>
      <c r="D29" s="116" t="n">
        <f aca="false">Unit_Cost!D$8/3600*Unit_Cost_Prod!D26</f>
        <v>0.225623749047979</v>
      </c>
      <c r="E29" s="116" t="n">
        <f aca="false">Unit_Cost!E$8/3600*Unit_Cost_Prod!E26</f>
        <v>0.38747896311007</v>
      </c>
      <c r="F29" s="116" t="n">
        <f aca="false">Unit_Cost!F$8/3600*Unit_Cost_Prod!F26</f>
        <v>0.0217591766481</v>
      </c>
      <c r="G29" s="116" t="n">
        <f aca="false">Unit_Cost!G$8/3600*Unit_Cost_Prod!G26</f>
        <v>0.0290530780051478</v>
      </c>
      <c r="H29" s="116" t="n">
        <f aca="false">Unit_Cost!H$8/3600*Unit_Cost_Prod!H26</f>
        <v>0.0471217569809901</v>
      </c>
      <c r="I29" s="116" t="n">
        <f aca="false">Unit_Cost!I$8/3600*Unit_Cost_Prod!I26</f>
        <v>0.0190532095253856</v>
      </c>
      <c r="J29" s="116" t="n">
        <f aca="false">Unit_Cost!J$8/3600*Unit_Cost_Prod!J26</f>
        <v>0.0246083227273963</v>
      </c>
      <c r="K29" s="116" t="n">
        <f aca="false">Unit_Cost!K$8/3600*Unit_Cost_Prod!K26</f>
        <v>0.0418968692356981</v>
      </c>
      <c r="L29" s="116" t="n">
        <f aca="false">Unit_Cost!L$8/3600*Unit_Cost_Prod!L26</f>
        <v>0.0153826095857749</v>
      </c>
      <c r="M29" s="116" t="n">
        <f aca="false">Unit_Cost!M$8/3600*Unit_Cost_Prod!M26</f>
        <v>0.0197706188748536</v>
      </c>
      <c r="N29" s="116" t="n">
        <f aca="false">Unit_Cost!N$8/3600*Unit_Cost_Prod!N26</f>
        <v>0.0319400470216134</v>
      </c>
      <c r="O29" s="116" t="n">
        <f aca="false">Unit_Cost!O$8/3600*Unit_Cost_Prod!O26</f>
        <v>0.0122365113083164</v>
      </c>
      <c r="P29" s="116" t="n">
        <f aca="false">Unit_Cost!P$8/3600*Unit_Cost_Prod!P26</f>
        <v>0.0185978193672674</v>
      </c>
      <c r="Q29" s="116" t="n">
        <f aca="false">Unit_Cost!Q$8/3600*Unit_Cost_Prod!Q26</f>
        <v>0.0339510906106888</v>
      </c>
      <c r="S29" s="116" t="n">
        <f aca="false">Unit_Cost!C$8/3600*Unit_Cost_Prod!S26</f>
        <v>0.134224657207592</v>
      </c>
      <c r="T29" s="116" t="n">
        <f aca="false">Unit_Cost!D$8/3600*Unit_Cost_Prod!T26</f>
        <v>0.191780186690782</v>
      </c>
      <c r="U29" s="116" t="n">
        <f aca="false">Unit_Cost!E$8/3600*Unit_Cost_Prod!U26</f>
        <v>0.32935711864356</v>
      </c>
      <c r="V29" s="116" t="n">
        <f aca="false">Unit_Cost!F$8/3600*Unit_Cost_Prod!V26</f>
        <v>0.018495300150885</v>
      </c>
      <c r="W29" s="116" t="n">
        <f aca="false">Unit_Cost!G$8/3600*Unit_Cost_Prod!W26</f>
        <v>0.0246951163043756</v>
      </c>
      <c r="X29" s="116" t="n">
        <f aca="false">Unit_Cost!H$8/3600*Unit_Cost_Prod!X26</f>
        <v>0.0400534934338416</v>
      </c>
      <c r="Y29" s="116" t="n">
        <f aca="false">Unit_Cost!I$8/3600*Unit_Cost_Prod!Y26</f>
        <v>0.0161952280965778</v>
      </c>
      <c r="Z29" s="116" t="n">
        <f aca="false">Unit_Cost!J$8/3600*Unit_Cost_Prod!Z26</f>
        <v>0.0209170743182869</v>
      </c>
      <c r="AA29" s="116" t="n">
        <f aca="false">Unit_Cost!K$8/3600*Unit_Cost_Prod!AA26</f>
        <v>0.0356123388503434</v>
      </c>
      <c r="AB29" s="116" t="n">
        <f aca="false">Unit_Cost!L$8/3600*Unit_Cost_Prod!AB26</f>
        <v>0.0130752181479087</v>
      </c>
      <c r="AC29" s="116" t="n">
        <f aca="false">Unit_Cost!M$8/3600*Unit_Cost_Prod!AC26</f>
        <v>0.0168050260436256</v>
      </c>
      <c r="AD29" s="116" t="n">
        <f aca="false">Unit_Cost!N$8/3600*Unit_Cost_Prod!AD26</f>
        <v>0.0271490399683714</v>
      </c>
      <c r="AE29" s="116" t="n">
        <f aca="false">Unit_Cost!O$8/3600*Unit_Cost_Prod!AE26</f>
        <v>0.0104010346120689</v>
      </c>
      <c r="AF29" s="116" t="n">
        <f aca="false">Unit_Cost!P$8/3600*Unit_Cost_Prod!AF26</f>
        <v>0.0158081464621773</v>
      </c>
      <c r="AG29" s="116" t="n">
        <f aca="false">Unit_Cost!Q$8/3600*Unit_Cost_Prod!AG26</f>
        <v>0.0288584270190855</v>
      </c>
    </row>
    <row r="31" customFormat="false" ht="15" hidden="false" customHeight="false" outlineLevel="0" collapsed="false">
      <c r="A31" s="61" t="s">
        <v>860</v>
      </c>
      <c r="B31" s="58" t="s">
        <v>807</v>
      </c>
      <c r="C31" s="116" t="n">
        <f aca="false">IF(ISNUMBER(Unit_Cost_Prod!C28),Unit_Cost!C$8/3600*Unit_Cost_Prod!C28,"SLO 不可達")</f>
        <v>3.28880305060576</v>
      </c>
      <c r="D31" s="116" t="n">
        <f aca="false">IF(ISNUMBER(Unit_Cost_Prod!D28),Unit_Cost!D$8/3600*Unit_Cost_Prod!D28,"SLO 不可達")</f>
        <v>4.69904171227571</v>
      </c>
      <c r="E31" s="116" t="n">
        <f aca="false">IF(ISNUMBER(Unit_Cost_Prod!E28),Unit_Cost!E$8/3600*Unit_Cost_Prod!E28,"SLO 不可達")</f>
        <v>8.06998296042132</v>
      </c>
      <c r="F31" s="116" t="n">
        <f aca="false">IF(ISNUMBER(Unit_Cost_Prod!F28),Unit_Cost!F$8/3600*Unit_Cost_Prod!F28,"SLO 不可達")</f>
        <v>0.541816643756206</v>
      </c>
      <c r="G31" s="116" t="n">
        <f aca="false">IF(ISNUMBER(Unit_Cost_Prod!G28),Unit_Cost!G$8/3600*Unit_Cost_Prod!G28,"SLO 不可達")</f>
        <v>0.723439193960079</v>
      </c>
      <c r="H31" s="116" t="n">
        <f aca="false">IF(ISNUMBER(Unit_Cost_Prod!H28),Unit_Cost!H$8/3600*Unit_Cost_Prod!H28,"SLO 不可達")</f>
        <v>1.17336021616264</v>
      </c>
      <c r="I31" s="116" t="n">
        <f aca="false">IF(ISNUMBER(Unit_Cost_Prod!I28),Unit_Cost!I$8/3600*Unit_Cost_Prod!I28,"SLO 不可達")</f>
        <v>0.474436427663711</v>
      </c>
      <c r="J31" s="116" t="n">
        <f aca="false">IF(ISNUMBER(Unit_Cost_Prod!J28),Unit_Cost!J$8/3600*Unit_Cost_Prod!J28,"SLO 不可達")</f>
        <v>0.612762102365289</v>
      </c>
      <c r="K31" s="116" t="n">
        <f aca="false">IF(ISNUMBER(Unit_Cost_Prod!K28),Unit_Cost!K$8/3600*Unit_Cost_Prod!K28,"SLO 不可達")</f>
        <v>1.04325735483014</v>
      </c>
      <c r="L31" s="116" t="n">
        <f aca="false">IF(ISNUMBER(Unit_Cost_Prod!L28),Unit_Cost!L$8/3600*Unit_Cost_Prod!L28,"SLO 不可達")</f>
        <v>0.323645874636291</v>
      </c>
      <c r="M31" s="116" t="n">
        <f aca="false">IF(ISNUMBER(Unit_Cost_Prod!M28),Unit_Cost!M$8/3600*Unit_Cost_Prod!M28,"SLO 不可達")</f>
        <v>0.415968383138967</v>
      </c>
      <c r="N31" s="116" t="n">
        <f aca="false">IF(ISNUMBER(Unit_Cost_Prod!N28),Unit_Cost!N$8/3600*Unit_Cost_Prod!N28,"SLO 不可達")</f>
        <v>0.672009804096812</v>
      </c>
      <c r="O31" s="116" t="n">
        <f aca="false">IF(ISNUMBER(Unit_Cost_Prod!O28),Unit_Cost!O$8/3600*Unit_Cost_Prod!O28,"SLO 不可達")</f>
        <v>0.24629793072747</v>
      </c>
      <c r="P31" s="116" t="n">
        <f aca="false">IF(ISNUMBER(Unit_Cost_Prod!P28),Unit_Cost!P$8/3600*Unit_Cost_Prod!P28,"SLO 不可達")</f>
        <v>0.37433908332092</v>
      </c>
      <c r="Q31" s="116" t="n">
        <f aca="false">IF(ISNUMBER(Unit_Cost_Prod!Q28),Unit_Cost!Q$8/3600*Unit_Cost_Prod!Q28,"SLO 不可達")</f>
        <v>0.683371522540933</v>
      </c>
      <c r="S31" s="116" t="n">
        <f aca="false">IF(ISNUMBER(Unit_Cost_Prod!S28),Unit_Cost!C$8/3600*Unit_Cost_Prod!S28,"SLO 不可達")</f>
        <v>2.21280518666324</v>
      </c>
      <c r="T31" s="116" t="n">
        <f aca="false">IF(ISNUMBER(Unit_Cost_Prod!T28),Unit_Cost!D$8/3600*Unit_Cost_Prod!T28,"SLO 不可達")</f>
        <v>3.16165599255189</v>
      </c>
      <c r="U31" s="116" t="n">
        <f aca="false">IF(ISNUMBER(Unit_Cost_Prod!U28),Unit_Cost!E$8/3600*Unit_Cost_Prod!U28,"SLO 不可達")</f>
        <v>5.42972621842321</v>
      </c>
      <c r="V31" s="116" t="n">
        <f aca="false">IF(ISNUMBER(Unit_Cost_Prod!V28),Unit_Cost!F$8/3600*Unit_Cost_Prod!V28,"SLO 不可達")</f>
        <v>0.423524919545995</v>
      </c>
      <c r="W31" s="116" t="n">
        <f aca="false">IF(ISNUMBER(Unit_Cost_Prod!W28),Unit_Cost!G$8/3600*Unit_Cost_Prod!W28,"SLO 不可達")</f>
        <v>0.565494858729786</v>
      </c>
      <c r="X31" s="116" t="n">
        <f aca="false">IF(ISNUMBER(Unit_Cost_Prod!X28),Unit_Cost!H$8/3600*Unit_Cost_Prod!X28,"SLO 不可達")</f>
        <v>0.917187201381651</v>
      </c>
      <c r="Y31" s="116" t="n">
        <f aca="false">IF(ISNUMBER(Unit_Cost_Prod!Y28),Unit_Cost!I$8/3600*Unit_Cost_Prod!Y28,"SLO 不可達")</f>
        <v>0.37085544006724</v>
      </c>
      <c r="Z31" s="116" t="n">
        <f aca="false">IF(ISNUMBER(Unit_Cost_Prod!Z28),Unit_Cost!J$8/3600*Unit_Cost_Prod!Z28,"SLO 不可達")</f>
        <v>0.478981262565029</v>
      </c>
      <c r="AA31" s="116" t="n">
        <f aca="false">IF(ISNUMBER(Unit_Cost_Prod!AA28),Unit_Cost!K$8/3600*Unit_Cost_Prod!AA28,"SLO 不可達")</f>
        <v>0.815488952511794</v>
      </c>
      <c r="AB31" s="116" t="n">
        <f aca="false">IF(ISNUMBER(Unit_Cost_Prod!AB28),Unit_Cost!L$8/3600*Unit_Cost_Prod!AB28,"SLO 不可達")</f>
        <v>0.256178955227036</v>
      </c>
      <c r="AC31" s="116" t="n">
        <f aca="false">IF(ISNUMBER(Unit_Cost_Prod!AC28),Unit_Cost!M$8/3600*Unit_Cost_Prod!AC28,"SLO 不可達")</f>
        <v>0.329255999075451</v>
      </c>
      <c r="AD31" s="116" t="n">
        <f aca="false">IF(ISNUMBER(Unit_Cost_Prod!AD28),Unit_Cost!N$8/3600*Unit_Cost_Prod!AD28,"SLO 不可達")</f>
        <v>0.531923262452556</v>
      </c>
      <c r="AE31" s="116" t="n">
        <f aca="false">IF(ISNUMBER(Unit_Cost_Prod!AE28),Unit_Cost!O$8/3600*Unit_Cost_Prod!AE28,"SLO 不可達")</f>
        <v>0.195537573688745</v>
      </c>
      <c r="AF31" s="116" t="n">
        <f aca="false">IF(ISNUMBER(Unit_Cost_Prod!AF28),Unit_Cost!P$8/3600*Unit_Cost_Prod!AF28,"SLO 不可達")</f>
        <v>0.297190300678713</v>
      </c>
      <c r="AG31" s="116" t="n">
        <f aca="false">IF(ISNUMBER(Unit_Cost_Prod!AG28),Unit_Cost!Q$8/3600*Unit_Cost_Prod!AG28,"SLO 不可達")</f>
        <v>0.542533220035429</v>
      </c>
    </row>
    <row r="39" customFormat="false" ht="15" hidden="false" customHeight="false" outlineLevel="0" collapsed="false">
      <c r="A39" s="61" t="s">
        <v>855</v>
      </c>
      <c r="B39" s="58" t="s">
        <v>793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1" t="s">
        <v>857</v>
      </c>
      <c r="B41" s="58" t="s">
        <v>793</v>
      </c>
      <c r="C41" s="98" t="str">
        <f aca="false">INDEX(Perf_Prod!$C$103:$Q$103,3*(Unit_Cost!C$6-1)+3)</f>
        <v>TTFT 不可達</v>
      </c>
      <c r="D41" s="98" t="str">
        <f aca="false">INDEX(Perf_Prod!$C$103:$Q$103,3*(Unit_Cost!D$6-1)+3)</f>
        <v>TTFT 不可達</v>
      </c>
      <c r="E41" s="98" t="str">
        <f aca="false">INDEX(Perf_Prod!$C$103:$Q$103,3*(Unit_Cost!E$6-1)+3)</f>
        <v>TTFT 不可達</v>
      </c>
      <c r="F41" s="98" t="n">
        <f aca="false">INDEX(Perf_Prod!$C$103:$Q$103,3*(Unit_Cost!F$6-1)+3)</f>
        <v>8315.20255430959</v>
      </c>
      <c r="G41" s="98" t="n">
        <f aca="false">INDEX(Perf_Prod!$C$103:$Q$103,3*(Unit_Cost!G$6-1)+3)</f>
        <v>8315.20255430959</v>
      </c>
      <c r="H41" s="98" t="n">
        <f aca="false">INDEX(Perf_Prod!$C$103:$Q$103,3*(Unit_Cost!H$6-1)+3)</f>
        <v>8315.20255430959</v>
      </c>
      <c r="I41" s="98" t="n">
        <f aca="false">INDEX(Perf_Prod!$C$103:$Q$103,3*(Unit_Cost!I$6-1)+3)</f>
        <v>7237.51745304007</v>
      </c>
      <c r="J41" s="98" t="n">
        <f aca="false">INDEX(Perf_Prod!$C$103:$Q$103,3*(Unit_Cost!J$6-1)+3)</f>
        <v>7237.51745304007</v>
      </c>
      <c r="K41" s="98" t="n">
        <f aca="false">INDEX(Perf_Prod!$C$103:$Q$103,3*(Unit_Cost!K$6-1)+3)</f>
        <v>7237.51745304007</v>
      </c>
      <c r="L41" s="98" t="n">
        <f aca="false">INDEX(Perf_Prod!$C$103:$Q$103,3*(Unit_Cost!L$6-1)+3)</f>
        <v>1718.16080972775</v>
      </c>
      <c r="M41" s="98" t="n">
        <f aca="false">INDEX(Perf_Prod!$C$103:$Q$103,3*(Unit_Cost!M$6-1)+3)</f>
        <v>1718.16080972775</v>
      </c>
      <c r="N41" s="98" t="n">
        <f aca="false">INDEX(Perf_Prod!$C$103:$Q$103,3*(Unit_Cost!N$6-1)+3)</f>
        <v>1718.16080972775</v>
      </c>
      <c r="O41" s="98" t="n">
        <f aca="false">INDEX(Perf_Prod!$C$103:$Q$103,3*(Unit_Cost!O$6-1)+3)</f>
        <v>759.576286085008</v>
      </c>
      <c r="P41" s="98" t="n">
        <f aca="false">INDEX(Perf_Prod!$C$103:$Q$103,3*(Unit_Cost!P$6-1)+3)</f>
        <v>759.576286085008</v>
      </c>
      <c r="Q41" s="98" t="n">
        <f aca="false">INDEX(Perf_Prod!$C$103:$Q$103,3*(Unit_Cost!Q$6-1)+3)</f>
        <v>759.576286085008</v>
      </c>
      <c r="S41" s="98" t="str">
        <f aca="false">INDEX(Perf_Prod!$S$103:$AG$103,3*(Unit_Cost!C$6-1)+3)</f>
        <v>TTFT 不可達</v>
      </c>
      <c r="T41" s="98" t="str">
        <f aca="false">INDEX(Perf_Prod!$S$103:$AG$103,3*(Unit_Cost!D$6-1)+3)</f>
        <v>TTFT 不可達</v>
      </c>
      <c r="U41" s="98" t="str">
        <f aca="false">INDEX(Perf_Prod!$S$103:$AG$103,3*(Unit_Cost!E$6-1)+3)</f>
        <v>TTFT 不可達</v>
      </c>
      <c r="V41" s="98" t="n">
        <f aca="false">INDEX(Perf_Prod!$S$103:$AG$103,3*(Unit_Cost!F$6-1)+3)</f>
        <v>5931.07676520949</v>
      </c>
      <c r="W41" s="98" t="n">
        <f aca="false">INDEX(Perf_Prod!$S$103:$AG$103,3*(Unit_Cost!G$6-1)+3)</f>
        <v>5931.07676520949</v>
      </c>
      <c r="X41" s="98" t="n">
        <f aca="false">INDEX(Perf_Prod!$S$103:$AG$103,3*(Unit_Cost!H$6-1)+3)</f>
        <v>5931.07676520949</v>
      </c>
      <c r="Y41" s="98" t="n">
        <f aca="false">INDEX(Perf_Prod!$S$103:$AG$103,3*(Unit_Cost!I$6-1)+3)</f>
        <v>4920.52361227776</v>
      </c>
      <c r="Z41" s="98" t="n">
        <f aca="false">INDEX(Perf_Prod!$S$103:$AG$103,3*(Unit_Cost!J$6-1)+3)</f>
        <v>4920.52361227776</v>
      </c>
      <c r="AA41" s="98" t="n">
        <f aca="false">INDEX(Perf_Prod!$S$103:$AG$103,3*(Unit_Cost!K$6-1)+3)</f>
        <v>4920.52361227776</v>
      </c>
      <c r="AB41" s="98" t="n">
        <f aca="false">INDEX(Perf_Prod!$S$103:$AG$103,3*(Unit_Cost!L$6-1)+3)</f>
        <v>1282.63712409266</v>
      </c>
      <c r="AC41" s="98" t="n">
        <f aca="false">INDEX(Perf_Prod!$S$103:$AG$103,3*(Unit_Cost!M$6-1)+3)</f>
        <v>1282.63712409266</v>
      </c>
      <c r="AD41" s="98" t="n">
        <f aca="false">INDEX(Perf_Prod!$S$103:$AG$103,3*(Unit_Cost!N$6-1)+3)</f>
        <v>1282.63712409266</v>
      </c>
      <c r="AE41" s="98" t="n">
        <f aca="false">INDEX(Perf_Prod!$S$103:$AG$103,3*(Unit_Cost!O$6-1)+3)</f>
        <v>575.147245462511</v>
      </c>
      <c r="AF41" s="98" t="n">
        <f aca="false">INDEX(Perf_Prod!$S$103:$AG$103,3*(Unit_Cost!P$6-1)+3)</f>
        <v>575.147245462511</v>
      </c>
      <c r="AG41" s="98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60" t="s">
        <v>858</v>
      </c>
      <c r="B42" s="58" t="s">
        <v>807</v>
      </c>
      <c r="C42" s="116" t="n">
        <f aca="false">Unit_Cost!C$8/3600*Unit_Cost_Prod!C39</f>
        <v>0.523863410119276</v>
      </c>
      <c r="D42" s="116" t="n">
        <f aca="false">Unit_Cost!D$8/3600*Unit_Cost_Prod!D39</f>
        <v>0.748496026611284</v>
      </c>
      <c r="E42" s="116" t="n">
        <f aca="false">Unit_Cost!E$8/3600*Unit_Cost_Prod!E39</f>
        <v>1.28544297977104</v>
      </c>
      <c r="F42" s="116" t="n">
        <f aca="false">Unit_Cost!F$8/3600*Unit_Cost_Prod!F39</f>
        <v>0.0721850307521153</v>
      </c>
      <c r="G42" s="116" t="n">
        <f aca="false">Unit_Cost!G$8/3600*Unit_Cost_Prod!G39</f>
        <v>0.0963822006302029</v>
      </c>
      <c r="H42" s="116" t="n">
        <f aca="false">Unit_Cost!H$8/3600*Unit_Cost_Prod!H39</f>
        <v>0.156324181368484</v>
      </c>
      <c r="I42" s="116" t="n">
        <f aca="false">Unit_Cost!I$8/3600*Unit_Cost_Prod!I39</f>
        <v>0.0632081138803821</v>
      </c>
      <c r="J42" s="116" t="n">
        <f aca="false">Unit_Cost!J$8/3600*Unit_Cost_Prod!J39</f>
        <v>0.0816369369835597</v>
      </c>
      <c r="K42" s="116" t="n">
        <f aca="false">Unit_Cost!K$8/3600*Unit_Cost_Prod!K39</f>
        <v>0.138990865468262</v>
      </c>
      <c r="L42" s="116" t="n">
        <f aca="false">Unit_Cost!L$8/3600*Unit_Cost_Prod!L39</f>
        <v>0.0510310736456061</v>
      </c>
      <c r="M42" s="116" t="n">
        <f aca="false">Unit_Cost!M$8/3600*Unit_Cost_Prod!M39</f>
        <v>0.0655880851812597</v>
      </c>
      <c r="N42" s="116" t="n">
        <f aca="false">Unit_Cost!N$8/3600*Unit_Cost_Prod!N39</f>
        <v>0.105959582651786</v>
      </c>
      <c r="O42" s="116" t="n">
        <f aca="false">Unit_Cost!O$8/3600*Unit_Cost_Prod!O39</f>
        <v>0.0405940426595394</v>
      </c>
      <c r="P42" s="116" t="n">
        <f aca="false">Unit_Cost!P$8/3600*Unit_Cost_Prod!P39</f>
        <v>0.0616973787501149</v>
      </c>
      <c r="Q42" s="116" t="n">
        <f aca="false">Unit_Cost!Q$8/3600*Unit_Cost_Prod!Q39</f>
        <v>0.112631123844221</v>
      </c>
      <c r="S42" s="116" t="n">
        <f aca="false">Unit_Cost!C$8/3600*Unit_Cost_Prod!S39</f>
        <v>0.445283898601385</v>
      </c>
      <c r="T42" s="116" t="n">
        <f aca="false">Unit_Cost!D$8/3600*Unit_Cost_Prod!T39</f>
        <v>0.636221622619591</v>
      </c>
      <c r="U42" s="116" t="n">
        <f aca="false">Unit_Cost!E$8/3600*Unit_Cost_Prod!U39</f>
        <v>1.09262653280539</v>
      </c>
      <c r="V42" s="116" t="n">
        <f aca="false">Unit_Cost!F$8/3600*Unit_Cost_Prod!V39</f>
        <v>0.061357276139298</v>
      </c>
      <c r="W42" s="116" t="n">
        <f aca="false">Unit_Cost!G$8/3600*Unit_Cost_Prod!W39</f>
        <v>0.0819248705356724</v>
      </c>
      <c r="X42" s="116" t="n">
        <f aca="false">Unit_Cost!H$8/3600*Unit_Cost_Prod!X39</f>
        <v>0.132875554163212</v>
      </c>
      <c r="Y42" s="116" t="n">
        <f aca="false">Unit_Cost!I$8/3600*Unit_Cost_Prod!Y39</f>
        <v>0.0537268967983248</v>
      </c>
      <c r="Z42" s="116" t="n">
        <f aca="false">Unit_Cost!J$8/3600*Unit_Cost_Prod!Z39</f>
        <v>0.0693913964360257</v>
      </c>
      <c r="AA42" s="116" t="n">
        <f aca="false">Unit_Cost!K$8/3600*Unit_Cost_Prod!AA39</f>
        <v>0.118142235648023</v>
      </c>
      <c r="AB42" s="116" t="n">
        <f aca="false">Unit_Cost!L$8/3600*Unit_Cost_Prod!AB39</f>
        <v>0.0433764125987652</v>
      </c>
      <c r="AC42" s="116" t="n">
        <f aca="false">Unit_Cost!M$8/3600*Unit_Cost_Prod!AC39</f>
        <v>0.0557498724040708</v>
      </c>
      <c r="AD42" s="116" t="n">
        <f aca="false">Unit_Cost!N$8/3600*Unit_Cost_Prod!AD39</f>
        <v>0.0900656452540185</v>
      </c>
      <c r="AE42" s="116" t="n">
        <f aca="false">Unit_Cost!O$8/3600*Unit_Cost_Prod!AE39</f>
        <v>0.0345049362606085</v>
      </c>
      <c r="AF42" s="116" t="n">
        <f aca="false">Unit_Cost!P$8/3600*Unit_Cost_Prod!AF39</f>
        <v>0.0524427719375976</v>
      </c>
      <c r="AG42" s="116" t="n">
        <f aca="false">Unit_Cost!Q$8/3600*Unit_Cost_Prod!AG39</f>
        <v>0.0957364552675877</v>
      </c>
    </row>
    <row r="44" customFormat="false" ht="15" hidden="false" customHeight="false" outlineLevel="0" collapsed="false">
      <c r="A44" s="61" t="s">
        <v>860</v>
      </c>
      <c r="B44" s="58" t="s">
        <v>807</v>
      </c>
      <c r="C44" s="116" t="str">
        <f aca="false">IF(ISNUMBER(Unit_Cost_Prod!C41),Unit_Cost!C$8/3600*Unit_Cost_Prod!C41,"SLO 不可達")</f>
        <v>SLO 不可達</v>
      </c>
      <c r="D44" s="116" t="str">
        <f aca="false">IF(ISNUMBER(Unit_Cost_Prod!D41),Unit_Cost!D$8/3600*Unit_Cost_Prod!D41,"SLO 不可達")</f>
        <v>SLO 不可達</v>
      </c>
      <c r="E44" s="116" t="str">
        <f aca="false">IF(ISNUMBER(Unit_Cost_Prod!E41),Unit_Cost!E$8/3600*Unit_Cost_Prod!E41,"SLO 不可達")</f>
        <v>SLO 不可達</v>
      </c>
      <c r="F44" s="116" t="n">
        <f aca="false">IF(ISNUMBER(Unit_Cost_Prod!F41),Unit_Cost!F$8/3600*Unit_Cost_Prod!F41,"SLO 不可達")</f>
        <v>3.47443380772583</v>
      </c>
      <c r="G44" s="116" t="n">
        <f aca="false">IF(ISNUMBER(Unit_Cost_Prod!G41),Unit_Cost!G$8/3600*Unit_Cost_Prod!G41,"SLO 不可達")</f>
        <v>4.63910000236133</v>
      </c>
      <c r="H44" s="116" t="n">
        <f aca="false">IF(ISNUMBER(Unit_Cost_Prod!H41),Unit_Cost!H$8/3600*Unit_Cost_Prod!H41,"SLO 不可達")</f>
        <v>7.52424727194302</v>
      </c>
      <c r="I44" s="116" t="n">
        <f aca="false">IF(ISNUMBER(Unit_Cost_Prod!I41),Unit_Cost!I$8/3600*Unit_Cost_Prod!I41,"SLO 不可達")</f>
        <v>3.97207808848589</v>
      </c>
      <c r="J44" s="116" t="n">
        <f aca="false">IF(ISNUMBER(Unit_Cost_Prod!J41),Unit_Cost!J$8/3600*Unit_Cost_Prod!J41,"SLO 不可達")</f>
        <v>5.13016871880025</v>
      </c>
      <c r="K44" s="116" t="n">
        <f aca="false">IF(ISNUMBER(Unit_Cost_Prod!K41),Unit_Cost!K$8/3600*Unit_Cost_Prod!K41,"SLO 不可達")</f>
        <v>8.73436236795422</v>
      </c>
      <c r="L44" s="116" t="n">
        <f aca="false">IF(ISNUMBER(Unit_Cost_Prod!L41),Unit_Cost!L$8/3600*Unit_Cost_Prod!L41,"SLO 不可達")</f>
        <v>1.77635851553715</v>
      </c>
      <c r="M44" s="116" t="n">
        <f aca="false">IF(ISNUMBER(Unit_Cost_Prod!M41),Unit_Cost!M$8/3600*Unit_Cost_Prod!M41,"SLO 不可達")</f>
        <v>2.28307862849635</v>
      </c>
      <c r="N44" s="116" t="n">
        <f aca="false">IF(ISNUMBER(Unit_Cost_Prod!N41),Unit_Cost!N$8/3600*Unit_Cost_Prod!N41,"SLO 不可達")</f>
        <v>3.68838422356943</v>
      </c>
      <c r="O44" s="116" t="n">
        <f aca="false">IF(ISNUMBER(Unit_Cost_Prod!O41),Unit_Cost!O$8/3600*Unit_Cost_Prod!O41,"SLO 不可達")</f>
        <v>1.24938361168957</v>
      </c>
      <c r="P44" s="116" t="n">
        <f aca="false">IF(ISNUMBER(Unit_Cost_Prod!P41),Unit_Cost!P$8/3600*Unit_Cost_Prod!P41,"SLO 不可達")</f>
        <v>1.89889177929619</v>
      </c>
      <c r="Q44" s="116" t="n">
        <f aca="false">IF(ISNUMBER(Unit_Cost_Prod!Q41),Unit_Cost!Q$8/3600*Unit_Cost_Prod!Q41,"SLO 不可達")</f>
        <v>3.46650570078365</v>
      </c>
      <c r="S44" s="116" t="str">
        <f aca="false">IF(ISNUMBER(Unit_Cost_Prod!S41),Unit_Cost!C$8/3600*Unit_Cost_Prod!S41,"SLO 不可達")</f>
        <v>SLO 不可達</v>
      </c>
      <c r="T44" s="116" t="str">
        <f aca="false">IF(ISNUMBER(Unit_Cost_Prod!T41),Unit_Cost!D$8/3600*Unit_Cost_Prod!T41,"SLO 不可達")</f>
        <v>SLO 不可達</v>
      </c>
      <c r="U44" s="116" t="str">
        <f aca="false">IF(ISNUMBER(Unit_Cost_Prod!U41),Unit_Cost!E$8/3600*Unit_Cost_Prod!U41,"SLO 不可達")</f>
        <v>SLO 不可達</v>
      </c>
      <c r="V44" s="116" t="n">
        <f aca="false">IF(ISNUMBER(Unit_Cost_Prod!V41),Unit_Cost!F$8/3600*Unit_Cost_Prod!V41,"SLO 不可達")</f>
        <v>2.47824794341068</v>
      </c>
      <c r="W44" s="116" t="n">
        <f aca="false">IF(ISNUMBER(Unit_Cost_Prod!W41),Unit_Cost!G$8/3600*Unit_Cost_Prod!W41,"SLO 不可達")</f>
        <v>3.30898231952609</v>
      </c>
      <c r="X44" s="116" t="n">
        <f aca="false">IF(ISNUMBER(Unit_Cost_Prod!X41),Unit_Cost!H$8/3600*Unit_Cost_Prod!X41,"SLO 不可達")</f>
        <v>5.36690331700735</v>
      </c>
      <c r="Y44" s="116" t="n">
        <f aca="false">IF(ISNUMBER(Unit_Cost_Prod!Y41),Unit_Cost!I$8/3600*Unit_Cost_Prod!Y41,"SLO 不可達")</f>
        <v>2.70047072784554</v>
      </c>
      <c r="Z44" s="116" t="n">
        <f aca="false">IF(ISNUMBER(Unit_Cost_Prod!Z41),Unit_Cost!J$8/3600*Unit_Cost_Prod!Z41,"SLO 不可達")</f>
        <v>3.48781422353906</v>
      </c>
      <c r="AA44" s="116" t="n">
        <f aca="false">IF(ISNUMBER(Unit_Cost_Prod!AA41),Unit_Cost!K$8/3600*Unit_Cost_Prod!AA41,"SLO 不可達")</f>
        <v>5.93817376587556</v>
      </c>
      <c r="AB44" s="116" t="n">
        <f aca="false">IF(ISNUMBER(Unit_Cost_Prod!AB41),Unit_Cost!L$8/3600*Unit_Cost_Prod!AB41,"SLO 不可達")</f>
        <v>1.32608273033948</v>
      </c>
      <c r="AC44" s="116" t="n">
        <f aca="false">IF(ISNUMBER(Unit_Cost_Prod!AC41),Unit_Cost!M$8/3600*Unit_Cost_Prod!AC41,"SLO 不可達")</f>
        <v>1.70435816575049</v>
      </c>
      <c r="AD44" s="116" t="n">
        <f aca="false">IF(ISNUMBER(Unit_Cost_Prod!AD41),Unit_Cost!N$8/3600*Unit_Cost_Prod!AD41,"SLO 不可達")</f>
        <v>2.7534433949855</v>
      </c>
      <c r="AE44" s="116" t="n">
        <f aca="false">IF(ISNUMBER(Unit_Cost_Prod!AE41),Unit_Cost!O$8/3600*Unit_Cost_Prod!AE41,"SLO 不可達")</f>
        <v>0.946026825683234</v>
      </c>
      <c r="AF44" s="116" t="n">
        <f aca="false">IF(ISNUMBER(Unit_Cost_Prod!AF41),Unit_Cost!P$8/3600*Unit_Cost_Prod!AF41,"SLO 不可達")</f>
        <v>1.43783105963287</v>
      </c>
      <c r="AG44" s="116" t="n">
        <f aca="false">IF(ISNUMBER(Unit_Cost_Prod!AG41),Unit_Cost!Q$8/3600*Unit_Cost_Prod!AG41,"SLO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7" t="s">
        <v>2369</v>
      </c>
    </row>
    <row r="2" customFormat="false" ht="15" hidden="false" customHeight="false" outlineLevel="0" collapsed="false">
      <c r="A2" s="73" t="s">
        <v>2370</v>
      </c>
    </row>
    <row r="3" customFormat="false" ht="15" hidden="false" customHeight="false" outlineLevel="0" collapsed="false">
      <c r="S3" s="59" t="s">
        <v>2360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74" t="str">
        <f aca="false">Interface!C4</f>
        <v>Hopper H100</v>
      </c>
      <c r="D4" s="174" t="str">
        <f aca="false">Interface!D4</f>
        <v>Hopper H100</v>
      </c>
      <c r="E4" s="174" t="str">
        <f aca="false">Interface!E4</f>
        <v>Hopper H100</v>
      </c>
      <c r="F4" s="174" t="str">
        <f aca="false">Interface!F4</f>
        <v>GB200 NVL72</v>
      </c>
      <c r="G4" s="174" t="str">
        <f aca="false">Interface!G4</f>
        <v>GB200 NVL72</v>
      </c>
      <c r="H4" s="174" t="str">
        <f aca="false">Interface!H4</f>
        <v>GB200 NVL72</v>
      </c>
      <c r="I4" s="174" t="str">
        <f aca="false">Interface!I4</f>
        <v>GB300 NVL72</v>
      </c>
      <c r="J4" s="174" t="str">
        <f aca="false">Interface!J4</f>
        <v>GB300 NVL72</v>
      </c>
      <c r="K4" s="174" t="str">
        <f aca="false">Interface!K4</f>
        <v>GB300 NVL72</v>
      </c>
      <c r="L4" s="174" t="str">
        <f aca="false">Interface!L4</f>
        <v>VR200 NVL72</v>
      </c>
      <c r="M4" s="174" t="str">
        <f aca="false">Interface!M4</f>
        <v>VR200 NVL72</v>
      </c>
      <c r="N4" s="174" t="str">
        <f aca="false">Interface!N4</f>
        <v>VR200 NVL72</v>
      </c>
      <c r="O4" s="174" t="str">
        <f aca="false">Interface!O4</f>
        <v>Rubin Ultra（MGX NVL 單架，72 GPU）</v>
      </c>
      <c r="P4" s="174" t="str">
        <f aca="false">Interface!P4</f>
        <v>Rubin Ultra（MGX NVL 單架，72 GPU）</v>
      </c>
      <c r="Q4" s="174" t="str">
        <f aca="false">Interface!Q4</f>
        <v>Rubin Ultra（MGX NVL 單架，72 GPU）</v>
      </c>
      <c r="S4" s="174" t="str">
        <f aca="false">Interface!C4</f>
        <v>Hopper H100</v>
      </c>
      <c r="T4" s="174" t="str">
        <f aca="false">Interface!D4</f>
        <v>Hopper H100</v>
      </c>
      <c r="U4" s="174" t="str">
        <f aca="false">Interface!E4</f>
        <v>Hopper H100</v>
      </c>
      <c r="V4" s="174" t="str">
        <f aca="false">Interface!F4</f>
        <v>GB200 NVL72</v>
      </c>
      <c r="W4" s="174" t="str">
        <f aca="false">Interface!G4</f>
        <v>GB200 NVL72</v>
      </c>
      <c r="X4" s="174" t="str">
        <f aca="false">Interface!H4</f>
        <v>GB200 NVL72</v>
      </c>
      <c r="Y4" s="174" t="str">
        <f aca="false">Interface!I4</f>
        <v>GB300 NVL72</v>
      </c>
      <c r="Z4" s="174" t="str">
        <f aca="false">Interface!J4</f>
        <v>GB300 NVL72</v>
      </c>
      <c r="AA4" s="174" t="str">
        <f aca="false">Interface!K4</f>
        <v>GB300 NVL72</v>
      </c>
      <c r="AB4" s="174" t="str">
        <f aca="false">Interface!L4</f>
        <v>VR200 NVL72</v>
      </c>
      <c r="AC4" s="174" t="str">
        <f aca="false">Interface!M4</f>
        <v>VR200 NVL72</v>
      </c>
      <c r="AD4" s="174" t="str">
        <f aca="false">Interface!N4</f>
        <v>VR200 NVL72</v>
      </c>
      <c r="AE4" s="174" t="str">
        <f aca="false">Interface!O4</f>
        <v>Rubin Ultra（MGX NVL 單架，72 GPU）</v>
      </c>
      <c r="AF4" s="174" t="str">
        <f aca="false">Interface!P4</f>
        <v>Rubin Ultra（MGX NVL 單架，72 GPU）</v>
      </c>
      <c r="AG4" s="174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2" t="n">
        <f aca="false">Interface!C6</f>
        <v>22439</v>
      </c>
      <c r="D6" s="167" t="n">
        <f aca="false">Interface!D6</f>
        <v>22439</v>
      </c>
      <c r="E6" s="62" t="n">
        <f aca="false">Interface!E6</f>
        <v>22439</v>
      </c>
      <c r="F6" s="62" t="n">
        <f aca="false">Interface!F6</f>
        <v>6969</v>
      </c>
      <c r="G6" s="167" t="n">
        <f aca="false">Interface!G6</f>
        <v>6969</v>
      </c>
      <c r="H6" s="62" t="n">
        <f aca="false">Interface!H6</f>
        <v>6969</v>
      </c>
      <c r="I6" s="62" t="n">
        <f aca="false">Interface!I6</f>
        <v>6764</v>
      </c>
      <c r="J6" s="167" t="n">
        <f aca="false">Interface!J6</f>
        <v>6764</v>
      </c>
      <c r="K6" s="62" t="n">
        <f aca="false">Interface!K6</f>
        <v>6764</v>
      </c>
      <c r="L6" s="62" t="n">
        <f aca="false">Interface!L6</f>
        <v>4052</v>
      </c>
      <c r="M6" s="167" t="n">
        <f aca="false">Interface!M6</f>
        <v>4052</v>
      </c>
      <c r="N6" s="62" t="n">
        <f aca="false">Interface!N6</f>
        <v>4052</v>
      </c>
      <c r="O6" s="62" t="n">
        <f aca="false">Interface!O6</f>
        <v>2705</v>
      </c>
      <c r="P6" s="167" t="n">
        <f aca="false">Interface!P6</f>
        <v>2705</v>
      </c>
      <c r="Q6" s="62" t="n">
        <f aca="false">Interface!Q6</f>
        <v>2705</v>
      </c>
      <c r="S6" s="62" t="n">
        <f aca="false">Interface!C6</f>
        <v>22439</v>
      </c>
      <c r="T6" s="167" t="n">
        <f aca="false">Interface!D6</f>
        <v>22439</v>
      </c>
      <c r="U6" s="62" t="n">
        <f aca="false">Interface!E6</f>
        <v>22439</v>
      </c>
      <c r="V6" s="62" t="n">
        <f aca="false">Interface!F6</f>
        <v>6969</v>
      </c>
      <c r="W6" s="167" t="n">
        <f aca="false">Interface!G6</f>
        <v>6969</v>
      </c>
      <c r="X6" s="62" t="n">
        <f aca="false">Interface!H6</f>
        <v>6969</v>
      </c>
      <c r="Y6" s="62" t="n">
        <f aca="false">Interface!I6</f>
        <v>6764</v>
      </c>
      <c r="Z6" s="167" t="n">
        <f aca="false">Interface!J6</f>
        <v>6764</v>
      </c>
      <c r="AA6" s="62" t="n">
        <f aca="false">Interface!K6</f>
        <v>6764</v>
      </c>
      <c r="AB6" s="62" t="n">
        <f aca="false">Interface!L6</f>
        <v>4052</v>
      </c>
      <c r="AC6" s="167" t="n">
        <f aca="false">Interface!M6</f>
        <v>4052</v>
      </c>
      <c r="AD6" s="62" t="n">
        <f aca="false">Interface!N6</f>
        <v>4052</v>
      </c>
      <c r="AE6" s="62" t="n">
        <f aca="false">Interface!O6</f>
        <v>2705</v>
      </c>
      <c r="AF6" s="167" t="n">
        <f aca="false">Interface!P6</f>
        <v>2705</v>
      </c>
      <c r="AG6" s="62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2" t="n">
        <f aca="false">Interface!C7</f>
        <v>718048</v>
      </c>
      <c r="D7" s="167" t="n">
        <f aca="false">Interface!D7</f>
        <v>718048</v>
      </c>
      <c r="E7" s="62" t="n">
        <f aca="false">Interface!E7</f>
        <v>718048</v>
      </c>
      <c r="F7" s="62" t="n">
        <f aca="false">Interface!F7</f>
        <v>501768</v>
      </c>
      <c r="G7" s="167" t="n">
        <f aca="false">Interface!G7</f>
        <v>501768</v>
      </c>
      <c r="H7" s="62" t="n">
        <f aca="false">Interface!H7</f>
        <v>501768</v>
      </c>
      <c r="I7" s="62" t="n">
        <f aca="false">Interface!I7</f>
        <v>487008</v>
      </c>
      <c r="J7" s="167" t="n">
        <f aca="false">Interface!J7</f>
        <v>487008</v>
      </c>
      <c r="K7" s="62" t="n">
        <f aca="false">Interface!K7</f>
        <v>487008</v>
      </c>
      <c r="L7" s="62" t="n">
        <f aca="false">Interface!L7</f>
        <v>291744</v>
      </c>
      <c r="M7" s="167" t="n">
        <f aca="false">Interface!M7</f>
        <v>291744</v>
      </c>
      <c r="N7" s="62" t="n">
        <f aca="false">Interface!N7</f>
        <v>291744</v>
      </c>
      <c r="O7" s="62" t="n">
        <f aca="false">Interface!O7</f>
        <v>194760</v>
      </c>
      <c r="P7" s="167" t="n">
        <f aca="false">Interface!P7</f>
        <v>194760</v>
      </c>
      <c r="Q7" s="62" t="n">
        <f aca="false">Interface!Q7</f>
        <v>194760</v>
      </c>
      <c r="S7" s="62" t="n">
        <f aca="false">Interface!C7</f>
        <v>718048</v>
      </c>
      <c r="T7" s="167" t="n">
        <f aca="false">Interface!D7</f>
        <v>718048</v>
      </c>
      <c r="U7" s="62" t="n">
        <f aca="false">Interface!E7</f>
        <v>718048</v>
      </c>
      <c r="V7" s="62" t="n">
        <f aca="false">Interface!F7</f>
        <v>501768</v>
      </c>
      <c r="W7" s="167" t="n">
        <f aca="false">Interface!G7</f>
        <v>501768</v>
      </c>
      <c r="X7" s="62" t="n">
        <f aca="false">Interface!H7</f>
        <v>501768</v>
      </c>
      <c r="Y7" s="62" t="n">
        <f aca="false">Interface!I7</f>
        <v>487008</v>
      </c>
      <c r="Z7" s="167" t="n">
        <f aca="false">Interface!J7</f>
        <v>487008</v>
      </c>
      <c r="AA7" s="62" t="n">
        <f aca="false">Interface!K7</f>
        <v>487008</v>
      </c>
      <c r="AB7" s="62" t="n">
        <f aca="false">Interface!L7</f>
        <v>291744</v>
      </c>
      <c r="AC7" s="167" t="n">
        <f aca="false">Interface!M7</f>
        <v>291744</v>
      </c>
      <c r="AD7" s="62" t="n">
        <f aca="false">Interface!N7</f>
        <v>291744</v>
      </c>
      <c r="AE7" s="62" t="n">
        <f aca="false">Interface!O7</f>
        <v>194760</v>
      </c>
      <c r="AF7" s="167" t="n">
        <f aca="false">Interface!P7</f>
        <v>194760</v>
      </c>
      <c r="AG7" s="62" t="n">
        <f aca="false">Interface!Q7</f>
        <v>194760</v>
      </c>
    </row>
    <row r="21" customFormat="false" ht="15" hidden="false" customHeight="false" outlineLevel="0" collapsed="false">
      <c r="A21" s="60" t="s">
        <v>2371</v>
      </c>
      <c r="B21" s="58" t="s">
        <v>2362</v>
      </c>
      <c r="C21" s="167" t="n">
        <f aca="false">INDEX(Perf_Prod!$C$98:$Q$98,3*(Unit_Cost!C$6-1)+1)</f>
        <v>43226918626.609</v>
      </c>
      <c r="D21" s="167" t="n">
        <f aca="false">INDEX(Perf_Prod!$C$98:$Q$98,3*(Unit_Cost!D$6-1)+1)</f>
        <v>43226918626.609</v>
      </c>
      <c r="E21" s="167" t="n">
        <f aca="false">INDEX(Perf_Prod!$C$98:$Q$98,3*(Unit_Cost!E$6-1)+1)</f>
        <v>43226918626.609</v>
      </c>
      <c r="F21" s="167" t="n">
        <f aca="false">INDEX(Perf_Prod!$C$98:$Q$98,3*(Unit_Cost!F$6-1)+1)</f>
        <v>283232558336.892</v>
      </c>
      <c r="G21" s="167" t="n">
        <f aca="false">INDEX(Perf_Prod!$C$98:$Q$98,3*(Unit_Cost!G$6-1)+1)</f>
        <v>283232558336.892</v>
      </c>
      <c r="H21" s="167" t="n">
        <f aca="false">INDEX(Perf_Prod!$C$98:$Q$98,3*(Unit_Cost!H$6-1)+1)</f>
        <v>283232558336.892</v>
      </c>
      <c r="I21" s="167" t="n">
        <f aca="false">INDEX(Perf_Prod!$C$98:$Q$98,3*(Unit_Cost!I$6-1)+1)</f>
        <v>412351490441.398</v>
      </c>
      <c r="J21" s="167" t="n">
        <f aca="false">INDEX(Perf_Prod!$C$98:$Q$98,3*(Unit_Cost!J$6-1)+1)</f>
        <v>412351490441.398</v>
      </c>
      <c r="K21" s="167" t="n">
        <f aca="false">INDEX(Perf_Prod!$C$98:$Q$98,3*(Unit_Cost!K$6-1)+1)</f>
        <v>412351490441.398</v>
      </c>
      <c r="L21" s="167" t="n">
        <f aca="false">INDEX(Perf_Prod!$C$98:$Q$98,3*(Unit_Cost!L$6-1)+1)</f>
        <v>608245746199.523</v>
      </c>
      <c r="M21" s="167" t="n">
        <f aca="false">INDEX(Perf_Prod!$C$98:$Q$98,3*(Unit_Cost!M$6-1)+1)</f>
        <v>608245746199.523</v>
      </c>
      <c r="N21" s="167" t="n">
        <f aca="false">INDEX(Perf_Prod!$C$98:$Q$98,3*(Unit_Cost!N$6-1)+1)</f>
        <v>608245746199.523</v>
      </c>
      <c r="O21" s="167" t="n">
        <f aca="false">INDEX(Perf_Prod!$C$98:$Q$98,3*(Unit_Cost!O$6-1)+1)</f>
        <v>823407904790.176</v>
      </c>
      <c r="P21" s="167" t="n">
        <f aca="false">INDEX(Perf_Prod!$C$98:$Q$98,3*(Unit_Cost!P$6-1)+1)</f>
        <v>823407904790.176</v>
      </c>
      <c r="Q21" s="167" t="n">
        <f aca="false">INDEX(Perf_Prod!$C$98:$Q$98,3*(Unit_Cost!Q$6-1)+1)</f>
        <v>823407904790.176</v>
      </c>
      <c r="S21" s="167" t="n">
        <f aca="false">INDEX(Perf_Prod!$S$98:$AG$98,3*(Unit_Cost!C$6-1)+1)</f>
        <v>64057059441.4818</v>
      </c>
      <c r="T21" s="167" t="n">
        <f aca="false">INDEX(Perf_Prod!$S$98:$AG$98,3*(Unit_Cost!D$6-1)+1)</f>
        <v>64057059441.4818</v>
      </c>
      <c r="U21" s="167" t="n">
        <f aca="false">INDEX(Perf_Prod!$S$98:$AG$98,3*(Unit_Cost!E$6-1)+1)</f>
        <v>64057059441.4818</v>
      </c>
      <c r="V21" s="167" t="n">
        <f aca="false">INDEX(Perf_Prod!$S$98:$AG$98,3*(Unit_Cost!F$6-1)+1)</f>
        <v>362306894085.614</v>
      </c>
      <c r="W21" s="167" t="n">
        <f aca="false">INDEX(Perf_Prod!$S$98:$AG$98,3*(Unit_Cost!G$6-1)+1)</f>
        <v>362306894085.614</v>
      </c>
      <c r="X21" s="167" t="n">
        <f aca="false">INDEX(Perf_Prod!$S$98:$AG$98,3*(Unit_Cost!H$6-1)+1)</f>
        <v>362306894085.614</v>
      </c>
      <c r="Y21" s="167" t="n">
        <f aca="false">INDEX(Perf_Prod!$S$98:$AG$98,3*(Unit_Cost!I$6-1)+1)</f>
        <v>527473919843.971</v>
      </c>
      <c r="Z21" s="167" t="n">
        <f aca="false">INDEX(Perf_Prod!$S$98:$AG$98,3*(Unit_Cost!J$6-1)+1)</f>
        <v>527473919843.971</v>
      </c>
      <c r="AA21" s="167" t="n">
        <f aca="false">INDEX(Perf_Prod!$S$98:$AG$98,3*(Unit_Cost!K$6-1)+1)</f>
        <v>527473919843.971</v>
      </c>
      <c r="AB21" s="167" t="n">
        <f aca="false">INDEX(Perf_Prod!$S$98:$AG$98,3*(Unit_Cost!L$6-1)+1)</f>
        <v>772778400993.445</v>
      </c>
      <c r="AC21" s="167" t="n">
        <f aca="false">INDEX(Perf_Prod!$S$98:$AG$98,3*(Unit_Cost!M$6-1)+1)</f>
        <v>772778400993.445</v>
      </c>
      <c r="AD21" s="167" t="n">
        <f aca="false">INDEX(Perf_Prod!$S$98:$AG$98,3*(Unit_Cost!N$6-1)+1)</f>
        <v>772778400993.445</v>
      </c>
      <c r="AE21" s="167" t="n">
        <f aca="false">INDEX(Perf_Prod!$S$98:$AG$98,3*(Unit_Cost!O$6-1)+1)</f>
        <v>1044373713057.39</v>
      </c>
      <c r="AF21" s="167" t="n">
        <f aca="false">INDEX(Perf_Prod!$S$98:$AG$98,3*(Unit_Cost!P$6-1)+1)</f>
        <v>1044373713057.39</v>
      </c>
      <c r="AG21" s="167" t="n">
        <f aca="false">INDEX(Perf_Prod!$S$98:$AG$98,3*(Unit_Cost!Q$6-1)+1)</f>
        <v>1044373713057.39</v>
      </c>
    </row>
    <row r="23" customFormat="false" ht="15" hidden="false" customHeight="false" outlineLevel="0" collapsed="false">
      <c r="A23" s="60" t="s">
        <v>2372</v>
      </c>
      <c r="B23" s="58" t="s">
        <v>807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1" t="s">
        <v>2373</v>
      </c>
      <c r="B25" s="58" t="s">
        <v>807</v>
      </c>
      <c r="C25" s="116" t="n">
        <f aca="false">Unit_Cost_Prod!C18</f>
        <v>1.04994844474</v>
      </c>
      <c r="D25" s="116" t="n">
        <f aca="false">Unit_Cost_Prod!D18</f>
        <v>1.50016631025185</v>
      </c>
      <c r="E25" s="116" t="n">
        <f aca="false">Unit_Cost_Prod!E18</f>
        <v>2.57633732637533</v>
      </c>
      <c r="F25" s="116" t="n">
        <f aca="false">Unit_Cost_Prod!F18</f>
        <v>0.159943319788345</v>
      </c>
      <c r="G25" s="116" t="n">
        <f aca="false">Unit_Cost_Prod!G18</f>
        <v>0.213557977002722</v>
      </c>
      <c r="H25" s="116" t="n">
        <f aca="false">Unit_Cost_Prod!H18</f>
        <v>0.346373871019486</v>
      </c>
      <c r="I25" s="116" t="n">
        <f aca="false">Unit_Cost_Prod!I18</f>
        <v>0.140052798568516</v>
      </c>
      <c r="J25" s="116" t="n">
        <f aca="false">Unit_Cost_Prod!J18</f>
        <v>0.180886294325224</v>
      </c>
      <c r="K25" s="116" t="n">
        <f aca="false">Unit_Cost_Prod!K18</f>
        <v>0.307967735299438</v>
      </c>
      <c r="L25" s="116" t="n">
        <f aca="false">Unit_Cost_Prod!L18</f>
        <v>0.105290741718836</v>
      </c>
      <c r="M25" s="116" t="n">
        <f aca="false">Unit_Cost_Prod!M18</f>
        <v>0.135325746516949</v>
      </c>
      <c r="N25" s="116" t="n">
        <f aca="false">Unit_Cost_Prod!N18</f>
        <v>0.218622934079411</v>
      </c>
      <c r="O25" s="116" t="n">
        <f aca="false">Unit_Cost_Prod!O18</f>
        <v>0.0822181312210071</v>
      </c>
      <c r="P25" s="116" t="n">
        <f aca="false">Unit_Cost_Prod!P18</f>
        <v>0.124960286035396</v>
      </c>
      <c r="Q25" s="116" t="n">
        <f aca="false">Unit_Cost_Prod!Q18</f>
        <v>0.228120184960625</v>
      </c>
      <c r="S25" s="116" t="n">
        <f aca="false">Unit_Cost_Prod!S18</f>
        <v>0.644763128214926</v>
      </c>
      <c r="T25" s="116" t="n">
        <f aca="false">Unit_Cost_Prod!T18</f>
        <v>0.921237540649102</v>
      </c>
      <c r="U25" s="116" t="n">
        <f aca="false">Unit_Cost_Prod!U18</f>
        <v>1.58210369491236</v>
      </c>
      <c r="V25" s="116" t="n">
        <f aca="false">Unit_Cost_Prod!V18</f>
        <v>0.121612196523219</v>
      </c>
      <c r="W25" s="116" t="n">
        <f aca="false">Unit_Cost_Prod!W18</f>
        <v>0.162377864250437</v>
      </c>
      <c r="X25" s="116" t="n">
        <f aca="false">Unit_Cost_Prod!X18</f>
        <v>0.263363842445387</v>
      </c>
      <c r="Y25" s="116" t="n">
        <f aca="false">Unit_Cost_Prod!Y18</f>
        <v>0.106488526596046</v>
      </c>
      <c r="Z25" s="116" t="n">
        <f aca="false">Unit_Cost_Prod!Z18</f>
        <v>0.137536094679954</v>
      </c>
      <c r="AA25" s="116" t="n">
        <f aca="false">Unit_Cost_Prod!AA18</f>
        <v>0.234161906840545</v>
      </c>
      <c r="AB25" s="116" t="n">
        <f aca="false">Unit_Cost_Prod!AB18</f>
        <v>0.0806426702715034</v>
      </c>
      <c r="AC25" s="116" t="n">
        <f aca="false">Unit_Cost_Prod!AC18</f>
        <v>0.103646620561882</v>
      </c>
      <c r="AD25" s="116" t="n">
        <f aca="false">Unit_Cost_Prod!AD18</f>
        <v>0.167444325103472</v>
      </c>
      <c r="AE25" s="116" t="n">
        <f aca="false">Unit_Cost_Prod!AE18</f>
        <v>0.0630858774448701</v>
      </c>
      <c r="AF25" s="116" t="n">
        <f aca="false">Unit_Cost_Prod!AF18</f>
        <v>0.0958818836336032</v>
      </c>
      <c r="AG25" s="116" t="n">
        <f aca="false">Unit_Cost_Prod!AG18</f>
        <v>0.175036355331926</v>
      </c>
    </row>
    <row r="31" customFormat="false" ht="15" hidden="false" customHeight="false" outlineLevel="0" collapsed="false">
      <c r="A31" s="60" t="s">
        <v>2374</v>
      </c>
      <c r="B31" s="58" t="s">
        <v>2362</v>
      </c>
      <c r="C31" s="167" t="n">
        <f aca="false">INDEX(Perf_Prod!$C$98:$Q$98,3*(Unit_Cost!C$6-1)+2)</f>
        <v>13426715849.566</v>
      </c>
      <c r="D31" s="167" t="n">
        <f aca="false">INDEX(Perf_Prod!$C$98:$Q$98,3*(Unit_Cost!D$6-1)+2)</f>
        <v>13426715849.566</v>
      </c>
      <c r="E31" s="167" t="n">
        <f aca="false">INDEX(Perf_Prod!$C$98:$Q$98,3*(Unit_Cost!E$6-1)+2)</f>
        <v>13426715849.566</v>
      </c>
      <c r="F31" s="167" t="n">
        <f aca="false">INDEX(Perf_Prod!$C$98:$Q$98,3*(Unit_Cost!F$6-1)+2)</f>
        <v>83122186024.2059</v>
      </c>
      <c r="G31" s="167" t="n">
        <f aca="false">INDEX(Perf_Prod!$C$98:$Q$98,3*(Unit_Cost!G$6-1)+2)</f>
        <v>83122186024.2059</v>
      </c>
      <c r="H31" s="167" t="n">
        <f aca="false">INDEX(Perf_Prod!$C$98:$Q$98,3*(Unit_Cost!H$6-1)+2)</f>
        <v>83122186024.2059</v>
      </c>
      <c r="I31" s="167" t="n">
        <f aca="false">INDEX(Perf_Prod!$C$98:$Q$98,3*(Unit_Cost!I$6-1)+2)</f>
        <v>121015597560.854</v>
      </c>
      <c r="J31" s="167" t="n">
        <f aca="false">INDEX(Perf_Prod!$C$98:$Q$98,3*(Unit_Cost!J$6-1)+2)</f>
        <v>121015597560.854</v>
      </c>
      <c r="K31" s="167" t="n">
        <f aca="false">INDEX(Perf_Prod!$C$98:$Q$98,3*(Unit_Cost!K$6-1)+2)</f>
        <v>121015597560.854</v>
      </c>
      <c r="L31" s="167" t="n">
        <f aca="false">INDEX(Perf_Prod!$C$98:$Q$98,3*(Unit_Cost!L$6-1)+2)</f>
        <v>191644052868.822</v>
      </c>
      <c r="M31" s="167" t="n">
        <f aca="false">INDEX(Perf_Prod!$C$98:$Q$98,3*(Unit_Cost!M$6-1)+2)</f>
        <v>191644052868.822</v>
      </c>
      <c r="N31" s="167" t="n">
        <f aca="false">INDEX(Perf_Prod!$C$98:$Q$98,3*(Unit_Cost!N$6-1)+2)</f>
        <v>191644052868.822</v>
      </c>
      <c r="O31" s="167" t="n">
        <f aca="false">INDEX(Perf_Prod!$C$98:$Q$98,3*(Unit_Cost!O$6-1)+2)</f>
        <v>264164840872.129</v>
      </c>
      <c r="P31" s="167" t="n">
        <f aca="false">INDEX(Perf_Prod!$C$98:$Q$98,3*(Unit_Cost!P$6-1)+2)</f>
        <v>264164840872.129</v>
      </c>
      <c r="Q31" s="167" t="n">
        <f aca="false">INDEX(Perf_Prod!$C$98:$Q$98,3*(Unit_Cost!Q$6-1)+2)</f>
        <v>264164840872.129</v>
      </c>
      <c r="S31" s="167" t="n">
        <f aca="false">INDEX(Perf_Prod!$S$98:$AG$98,3*(Unit_Cost!C$6-1)+2)</f>
        <v>18596612433.2849</v>
      </c>
      <c r="T31" s="167" t="n">
        <f aca="false">INDEX(Perf_Prod!$S$98:$AG$98,3*(Unit_Cost!D$6-1)+2)</f>
        <v>18596612433.2849</v>
      </c>
      <c r="U31" s="167" t="n">
        <f aca="false">INDEX(Perf_Prod!$S$98:$AG$98,3*(Unit_Cost!E$6-1)+2)</f>
        <v>18596612433.2849</v>
      </c>
      <c r="V31" s="167" t="n">
        <f aca="false">INDEX(Perf_Prod!$S$98:$AG$98,3*(Unit_Cost!F$6-1)+2)</f>
        <v>104125401080.667</v>
      </c>
      <c r="W31" s="167" t="n">
        <f aca="false">INDEX(Perf_Prod!$S$98:$AG$98,3*(Unit_Cost!G$6-1)+2)</f>
        <v>104125401080.667</v>
      </c>
      <c r="X31" s="167" t="n">
        <f aca="false">INDEX(Perf_Prod!$S$98:$AG$98,3*(Unit_Cost!H$6-1)+2)</f>
        <v>104125401080.667</v>
      </c>
      <c r="Y31" s="167" t="n">
        <f aca="false">INDEX(Perf_Prod!$S$98:$AG$98,3*(Unit_Cost!I$6-1)+2)</f>
        <v>151593674754.548</v>
      </c>
      <c r="Z31" s="167" t="n">
        <f aca="false">INDEX(Perf_Prod!$S$98:$AG$98,3*(Unit_Cost!J$6-1)+2)</f>
        <v>151593674754.548</v>
      </c>
      <c r="AA31" s="167" t="n">
        <f aca="false">INDEX(Perf_Prod!$S$98:$AG$98,3*(Unit_Cost!K$6-1)+2)</f>
        <v>151593674754.548</v>
      </c>
      <c r="AB31" s="167" t="n">
        <f aca="false">INDEX(Perf_Prod!$S$98:$AG$98,3*(Unit_Cost!L$6-1)+2)</f>
        <v>237287338734.99</v>
      </c>
      <c r="AC31" s="167" t="n">
        <f aca="false">INDEX(Perf_Prod!$S$98:$AG$98,3*(Unit_Cost!M$6-1)+2)</f>
        <v>237287338734.99</v>
      </c>
      <c r="AD31" s="167" t="n">
        <f aca="false">INDEX(Perf_Prod!$S$98:$AG$98,3*(Unit_Cost!N$6-1)+2)</f>
        <v>237287338734.99</v>
      </c>
      <c r="AE31" s="167" t="n">
        <f aca="false">INDEX(Perf_Prod!$S$98:$AG$98,3*(Unit_Cost!O$6-1)+2)</f>
        <v>326185670522.351</v>
      </c>
      <c r="AF31" s="167" t="n">
        <f aca="false">INDEX(Perf_Prod!$S$98:$AG$98,3*(Unit_Cost!P$6-1)+2)</f>
        <v>326185670522.351</v>
      </c>
      <c r="AG31" s="167" t="n">
        <f aca="false">INDEX(Perf_Prod!$S$98:$AG$98,3*(Unit_Cost!Q$6-1)+2)</f>
        <v>326185670522.351</v>
      </c>
    </row>
    <row r="33" customFormat="false" ht="15" hidden="false" customHeight="false" outlineLevel="0" collapsed="false">
      <c r="A33" s="60" t="s">
        <v>2375</v>
      </c>
      <c r="B33" s="58" t="s">
        <v>807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1" t="s">
        <v>2376</v>
      </c>
      <c r="B35" s="58" t="s">
        <v>807</v>
      </c>
      <c r="C35" s="116" t="n">
        <f aca="false">Unit_Cost_Prod!C31</f>
        <v>3.28880305060576</v>
      </c>
      <c r="D35" s="116" t="n">
        <f aca="false">Unit_Cost_Prod!D31</f>
        <v>4.69904171227571</v>
      </c>
      <c r="E35" s="116" t="n">
        <f aca="false">Unit_Cost_Prod!E31</f>
        <v>8.06998296042132</v>
      </c>
      <c r="F35" s="116" t="n">
        <f aca="false">Unit_Cost_Prod!F31</f>
        <v>0.541816643756206</v>
      </c>
      <c r="G35" s="116" t="n">
        <f aca="false">Unit_Cost_Prod!G31</f>
        <v>0.723439193960079</v>
      </c>
      <c r="H35" s="116" t="n">
        <f aca="false">Unit_Cost_Prod!H31</f>
        <v>1.17336021616264</v>
      </c>
      <c r="I35" s="116" t="n">
        <f aca="false">Unit_Cost_Prod!I31</f>
        <v>0.474436427663711</v>
      </c>
      <c r="J35" s="116" t="n">
        <f aca="false">Unit_Cost_Prod!J31</f>
        <v>0.612762102365289</v>
      </c>
      <c r="K35" s="116" t="n">
        <f aca="false">Unit_Cost_Prod!K31</f>
        <v>1.04325735483014</v>
      </c>
      <c r="L35" s="116" t="n">
        <f aca="false">Unit_Cost_Prod!L31</f>
        <v>0.323645874636291</v>
      </c>
      <c r="M35" s="116" t="n">
        <f aca="false">Unit_Cost_Prod!M31</f>
        <v>0.415968383138967</v>
      </c>
      <c r="N35" s="116" t="n">
        <f aca="false">Unit_Cost_Prod!N31</f>
        <v>0.672009804096812</v>
      </c>
      <c r="O35" s="116" t="n">
        <f aca="false">Unit_Cost_Prod!O31</f>
        <v>0.24629793072747</v>
      </c>
      <c r="P35" s="116" t="n">
        <f aca="false">Unit_Cost_Prod!P31</f>
        <v>0.37433908332092</v>
      </c>
      <c r="Q35" s="116" t="n">
        <f aca="false">Unit_Cost_Prod!Q31</f>
        <v>0.683371522540933</v>
      </c>
      <c r="S35" s="116" t="n">
        <f aca="false">Unit_Cost_Prod!S31</f>
        <v>2.21280518666324</v>
      </c>
      <c r="T35" s="116" t="n">
        <f aca="false">Unit_Cost_Prod!T31</f>
        <v>3.16165599255189</v>
      </c>
      <c r="U35" s="116" t="n">
        <f aca="false">Unit_Cost_Prod!U31</f>
        <v>5.42972621842321</v>
      </c>
      <c r="V35" s="116" t="n">
        <f aca="false">Unit_Cost_Prod!V31</f>
        <v>0.423524919545995</v>
      </c>
      <c r="W35" s="116" t="n">
        <f aca="false">Unit_Cost_Prod!W31</f>
        <v>0.565494858729786</v>
      </c>
      <c r="X35" s="116" t="n">
        <f aca="false">Unit_Cost_Prod!X31</f>
        <v>0.917187201381651</v>
      </c>
      <c r="Y35" s="116" t="n">
        <f aca="false">Unit_Cost_Prod!Y31</f>
        <v>0.37085544006724</v>
      </c>
      <c r="Z35" s="116" t="n">
        <f aca="false">Unit_Cost_Prod!Z31</f>
        <v>0.478981262565029</v>
      </c>
      <c r="AA35" s="116" t="n">
        <f aca="false">Unit_Cost_Prod!AA31</f>
        <v>0.815488952511794</v>
      </c>
      <c r="AB35" s="116" t="n">
        <f aca="false">Unit_Cost_Prod!AB31</f>
        <v>0.256178955227036</v>
      </c>
      <c r="AC35" s="116" t="n">
        <f aca="false">Unit_Cost_Prod!AC31</f>
        <v>0.329255999075451</v>
      </c>
      <c r="AD35" s="116" t="n">
        <f aca="false">Unit_Cost_Prod!AD31</f>
        <v>0.531923262452556</v>
      </c>
      <c r="AE35" s="116" t="n">
        <f aca="false">Unit_Cost_Prod!AE31</f>
        <v>0.195537573688745</v>
      </c>
      <c r="AF35" s="116" t="n">
        <f aca="false">Unit_Cost_Prod!AF31</f>
        <v>0.297190300678713</v>
      </c>
      <c r="AG35" s="116" t="n">
        <f aca="false">Unit_Cost_Prod!AG31</f>
        <v>0.542533220035429</v>
      </c>
    </row>
    <row r="41" customFormat="false" ht="15" hidden="false" customHeight="false" outlineLevel="0" collapsed="false">
      <c r="A41" s="60" t="s">
        <v>2377</v>
      </c>
      <c r="B41" s="58" t="s">
        <v>2362</v>
      </c>
      <c r="C41" s="167" t="str">
        <f aca="false">INDEX(Perf_Prod!$C$98:$Q$98,3*(Unit_Cost!C$6-1)+3)</f>
        <v>TTFT 不可達</v>
      </c>
      <c r="D41" s="167" t="str">
        <f aca="false">INDEX(Perf_Prod!$C$98:$Q$98,3*(Unit_Cost!D$6-1)+3)</f>
        <v>TTFT 不可達</v>
      </c>
      <c r="E41" s="167" t="str">
        <f aca="false">INDEX(Perf_Prod!$C$98:$Q$98,3*(Unit_Cost!E$6-1)+3)</f>
        <v>TTFT 不可達</v>
      </c>
      <c r="F41" s="167" t="n">
        <f aca="false">INDEX(Perf_Prod!$C$98:$Q$98,3*(Unit_Cost!F$6-1)+3)</f>
        <v>14685984375.9429</v>
      </c>
      <c r="G41" s="167" t="n">
        <f aca="false">INDEX(Perf_Prod!$C$98:$Q$98,3*(Unit_Cost!G$6-1)+3)</f>
        <v>14685984375.9429</v>
      </c>
      <c r="H41" s="167" t="n">
        <f aca="false">INDEX(Perf_Prod!$C$98:$Q$98,3*(Unit_Cost!H$6-1)+3)</f>
        <v>14685984375.9429</v>
      </c>
      <c r="I41" s="167" t="n">
        <f aca="false">INDEX(Perf_Prod!$C$98:$Q$98,3*(Unit_Cost!I$6-1)+3)</f>
        <v>16941591354.3218</v>
      </c>
      <c r="J41" s="167" t="n">
        <f aca="false">INDEX(Perf_Prod!$C$98:$Q$98,3*(Unit_Cost!J$6-1)+3)</f>
        <v>16941591354.3218</v>
      </c>
      <c r="K41" s="167" t="n">
        <f aca="false">INDEX(Perf_Prod!$C$98:$Q$98,3*(Unit_Cost!K$6-1)+3)</f>
        <v>16941591354.3218</v>
      </c>
      <c r="L41" s="167" t="n">
        <f aca="false">INDEX(Perf_Prod!$C$98:$Q$98,3*(Unit_Cost!L$6-1)+3)</f>
        <v>39187225969.8546</v>
      </c>
      <c r="M41" s="167" t="n">
        <f aca="false">INDEX(Perf_Prod!$C$98:$Q$98,3*(Unit_Cost!M$6-1)+3)</f>
        <v>39187225969.8546</v>
      </c>
      <c r="N41" s="167" t="n">
        <f aca="false">INDEX(Perf_Prod!$C$98:$Q$98,3*(Unit_Cost!N$6-1)+3)</f>
        <v>39187225969.8546</v>
      </c>
      <c r="O41" s="167" t="n">
        <f aca="false">INDEX(Perf_Prod!$C$98:$Q$98,3*(Unit_Cost!O$6-1)+3)</f>
        <v>57760514272.72</v>
      </c>
      <c r="P41" s="167" t="n">
        <f aca="false">INDEX(Perf_Prod!$C$98:$Q$98,3*(Unit_Cost!P$6-1)+3)</f>
        <v>57760514272.72</v>
      </c>
      <c r="Q41" s="167" t="n">
        <f aca="false">INDEX(Perf_Prod!$C$98:$Q$98,3*(Unit_Cost!Q$6-1)+3)</f>
        <v>57760514272.72</v>
      </c>
      <c r="S41" s="167" t="str">
        <f aca="false">INDEX(Perf_Prod!$S$98:$AG$98,3*(Unit_Cost!C$6-1)+3)</f>
        <v>TTFT 不可達</v>
      </c>
      <c r="T41" s="167" t="str">
        <f aca="false">INDEX(Perf_Prod!$S$98:$AG$98,3*(Unit_Cost!D$6-1)+3)</f>
        <v>TTFT 不可達</v>
      </c>
      <c r="U41" s="167" t="str">
        <f aca="false">INDEX(Perf_Prod!$S$98:$AG$98,3*(Unit_Cost!E$6-1)+3)</f>
        <v>TTFT 不可達</v>
      </c>
      <c r="V41" s="167" t="n">
        <f aca="false">INDEX(Perf_Prod!$S$98:$AG$98,3*(Unit_Cost!F$6-1)+3)</f>
        <v>20041838664.2467</v>
      </c>
      <c r="W41" s="167" t="n">
        <f aca="false">INDEX(Perf_Prod!$S$98:$AG$98,3*(Unit_Cost!G$6-1)+3)</f>
        <v>20041838664.2467</v>
      </c>
      <c r="X41" s="167" t="n">
        <f aca="false">INDEX(Perf_Prod!$S$98:$AG$98,3*(Unit_Cost!H$6-1)+3)</f>
        <v>20041838664.2467</v>
      </c>
      <c r="Y41" s="167" t="n">
        <f aca="false">INDEX(Perf_Prod!$S$98:$AG$98,3*(Unit_Cost!I$6-1)+3)</f>
        <v>24234237528.7831</v>
      </c>
      <c r="Z41" s="167" t="n">
        <f aca="false">INDEX(Perf_Prod!$S$98:$AG$98,3*(Unit_Cost!J$6-1)+3)</f>
        <v>24234237528.7831</v>
      </c>
      <c r="AA41" s="167" t="n">
        <f aca="false">INDEX(Perf_Prod!$S$98:$AG$98,3*(Unit_Cost!K$6-1)+3)</f>
        <v>24234237528.7831</v>
      </c>
      <c r="AB41" s="167" t="n">
        <f aca="false">INDEX(Perf_Prod!$S$98:$AG$98,3*(Unit_Cost!L$6-1)+3)</f>
        <v>51167890551.5595</v>
      </c>
      <c r="AC41" s="167" t="n">
        <f aca="false">INDEX(Perf_Prod!$S$98:$AG$98,3*(Unit_Cost!M$6-1)+3)</f>
        <v>51167890551.5595</v>
      </c>
      <c r="AD41" s="167" t="n">
        <f aca="false">INDEX(Perf_Prod!$S$98:$AG$98,3*(Unit_Cost!N$6-1)+3)</f>
        <v>51167890551.5595</v>
      </c>
      <c r="AE41" s="167" t="n">
        <f aca="false">INDEX(Perf_Prod!$S$98:$AG$98,3*(Unit_Cost!O$6-1)+3)</f>
        <v>74400955991.7707</v>
      </c>
      <c r="AF41" s="167" t="n">
        <f aca="false">INDEX(Perf_Prod!$S$98:$AG$98,3*(Unit_Cost!P$6-1)+3)</f>
        <v>74400955991.7707</v>
      </c>
      <c r="AG41" s="167" t="n">
        <f aca="false">INDEX(Perf_Prod!$S$98:$AG$98,3*(Unit_Cost!Q$6-1)+3)</f>
        <v>74400955991.7707</v>
      </c>
    </row>
    <row r="43" customFormat="false" ht="15" hidden="false" customHeight="false" outlineLevel="0" collapsed="false">
      <c r="A43" s="60" t="s">
        <v>2378</v>
      </c>
      <c r="B43" s="58" t="s">
        <v>807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1" t="s">
        <v>2379</v>
      </c>
      <c r="B45" s="58" t="s">
        <v>807</v>
      </c>
      <c r="C45" s="116" t="str">
        <f aca="false">Unit_Cost_Prod!C44</f>
        <v>SLO 不可達</v>
      </c>
      <c r="D45" s="116" t="str">
        <f aca="false">Unit_Cost_Prod!D44</f>
        <v>SLO 不可達</v>
      </c>
      <c r="E45" s="116" t="str">
        <f aca="false">Unit_Cost_Prod!E44</f>
        <v>SLO 不可達</v>
      </c>
      <c r="F45" s="116" t="n">
        <f aca="false">Unit_Cost_Prod!F44</f>
        <v>3.47443380772583</v>
      </c>
      <c r="G45" s="116" t="n">
        <f aca="false">Unit_Cost_Prod!G44</f>
        <v>4.63910000236133</v>
      </c>
      <c r="H45" s="116" t="n">
        <f aca="false">Unit_Cost_Prod!H44</f>
        <v>7.52424727194302</v>
      </c>
      <c r="I45" s="116" t="n">
        <f aca="false">Unit_Cost_Prod!I44</f>
        <v>3.97207808848589</v>
      </c>
      <c r="J45" s="116" t="n">
        <f aca="false">Unit_Cost_Prod!J44</f>
        <v>5.13016871880025</v>
      </c>
      <c r="K45" s="116" t="n">
        <f aca="false">Unit_Cost_Prod!K44</f>
        <v>8.73436236795422</v>
      </c>
      <c r="L45" s="116" t="n">
        <f aca="false">Unit_Cost_Prod!L44</f>
        <v>1.77635851553715</v>
      </c>
      <c r="M45" s="116" t="n">
        <f aca="false">Unit_Cost_Prod!M44</f>
        <v>2.28307862849635</v>
      </c>
      <c r="N45" s="116" t="n">
        <f aca="false">Unit_Cost_Prod!N44</f>
        <v>3.68838422356943</v>
      </c>
      <c r="O45" s="116" t="n">
        <f aca="false">Unit_Cost_Prod!O44</f>
        <v>1.24938361168957</v>
      </c>
      <c r="P45" s="116" t="n">
        <f aca="false">Unit_Cost_Prod!P44</f>
        <v>1.89889177929619</v>
      </c>
      <c r="Q45" s="116" t="n">
        <f aca="false">Unit_Cost_Prod!Q44</f>
        <v>3.46650570078365</v>
      </c>
      <c r="S45" s="116" t="str">
        <f aca="false">Unit_Cost_Prod!S44</f>
        <v>SLO 不可達</v>
      </c>
      <c r="T45" s="116" t="str">
        <f aca="false">Unit_Cost_Prod!T44</f>
        <v>SLO 不可達</v>
      </c>
      <c r="U45" s="116" t="str">
        <f aca="false">Unit_Cost_Prod!U44</f>
        <v>SLO 不可達</v>
      </c>
      <c r="V45" s="116" t="n">
        <f aca="false">Unit_Cost_Prod!V44</f>
        <v>2.47824794341068</v>
      </c>
      <c r="W45" s="116" t="n">
        <f aca="false">Unit_Cost_Prod!W44</f>
        <v>3.30898231952609</v>
      </c>
      <c r="X45" s="116" t="n">
        <f aca="false">Unit_Cost_Prod!X44</f>
        <v>5.36690331700735</v>
      </c>
      <c r="Y45" s="116" t="n">
        <f aca="false">Unit_Cost_Prod!Y44</f>
        <v>2.70047072784554</v>
      </c>
      <c r="Z45" s="116" t="n">
        <f aca="false">Unit_Cost_Prod!Z44</f>
        <v>3.48781422353906</v>
      </c>
      <c r="AA45" s="116" t="n">
        <f aca="false">Unit_Cost_Prod!AA44</f>
        <v>5.93817376587556</v>
      </c>
      <c r="AB45" s="116" t="n">
        <f aca="false">Unit_Cost_Prod!AB44</f>
        <v>1.32608273033948</v>
      </c>
      <c r="AC45" s="116" t="n">
        <f aca="false">Unit_Cost_Prod!AC44</f>
        <v>1.70435816575049</v>
      </c>
      <c r="AD45" s="116" t="n">
        <f aca="false">Unit_Cost_Prod!AD44</f>
        <v>2.7534433949855</v>
      </c>
      <c r="AE45" s="116" t="n">
        <f aca="false">Unit_Cost_Prod!AE44</f>
        <v>0.946026825683234</v>
      </c>
      <c r="AF45" s="116" t="n">
        <f aca="false">Unit_Cost_Prod!AF44</f>
        <v>1.43783105963287</v>
      </c>
      <c r="AG45" s="116" t="n">
        <f aca="false">Unit_Cost_Prod!AG44</f>
        <v>2.62482023426766</v>
      </c>
    </row>
    <row r="60" customFormat="false" ht="15" hidden="false" customHeight="false" outlineLevel="0" collapsed="false">
      <c r="A60" s="60" t="s">
        <v>2380</v>
      </c>
      <c r="B60" s="58" t="s">
        <v>877</v>
      </c>
      <c r="C60" s="167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67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67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67" t="n">
        <f aca="false">IF(ISNUMBER(INDEX(Training_Prod!$C$120:$Q$120,3*(Unit_Cost!F$6-1)+1)),INDEX(Training_Prod!$C$120:$Q$120,3*(Unit_Cost!F$6-1)+1)*Unit_Cost!F$8/1000000,INDEX(Training_Prod!$C$120:$Q$120,3*(Unit_Cost!F$6-1)+1))</f>
        <v>27.4775824046781</v>
      </c>
      <c r="G60" s="167" t="n">
        <f aca="false">IF(ISNUMBER(INDEX(Training_Prod!$C$120:$Q$120,3*(Unit_Cost!G$6-1)+1)),INDEX(Training_Prod!$C$120:$Q$120,3*(Unit_Cost!G$6-1)+1)*Unit_Cost!G$8/1000000,INDEX(Training_Prod!$C$120:$Q$120,3*(Unit_Cost!G$6-1)+1))</f>
        <v>36.6883525928678</v>
      </c>
      <c r="H60" s="167" t="n">
        <f aca="false">IF(ISNUMBER(INDEX(Training_Prod!$C$120:$Q$120,3*(Unit_Cost!H$6-1)+1)),INDEX(Training_Prod!$C$120:$Q$120,3*(Unit_Cost!H$6-1)+1)*Unit_Cost!H$8/1000000,INDEX(Training_Prod!$C$120:$Q$120,3*(Unit_Cost!H$6-1)+1))</f>
        <v>59.5055585713732</v>
      </c>
      <c r="I60" s="167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67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67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67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67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67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67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67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67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67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67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67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67" t="n">
        <f aca="false">IF(ISNUMBER(INDEX(Training_Prod!$S$120:$AG$120,3*(Unit_Cost!F$6-1)+1)),INDEX(Training_Prod!$S$120:$AG$120,3*(Unit_Cost!F$6-1)+1)*Unit_Cost!F$8/1000000,INDEX(Training_Prod!$S$120:$AG$120,3*(Unit_Cost!F$6-1)+1))</f>
        <v>25.0277109184711</v>
      </c>
      <c r="W60" s="167" t="n">
        <f aca="false">IF(ISNUMBER(INDEX(Training_Prod!$S$120:$AG$120,3*(Unit_Cost!G$6-1)+1)),INDEX(Training_Prod!$S$120:$AG$120,3*(Unit_Cost!G$6-1)+1)*Unit_Cost!G$8/1000000,INDEX(Training_Prod!$S$120:$AG$120,3*(Unit_Cost!G$6-1)+1))</f>
        <v>33.4172588128753</v>
      </c>
      <c r="X60" s="167" t="n">
        <f aca="false">IF(ISNUMBER(INDEX(Training_Prod!$S$120:$AG$120,3*(Unit_Cost!H$6-1)+1)),INDEX(Training_Prod!$S$120:$AG$120,3*(Unit_Cost!H$6-1)+1)*Unit_Cost!H$8/1000000,INDEX(Training_Prod!$S$120:$AG$120,3*(Unit_Cost!H$6-1)+1))</f>
        <v>54.2001074196734</v>
      </c>
      <c r="Y60" s="167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67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67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67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67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67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67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67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67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0" t="s">
        <v>2381</v>
      </c>
      <c r="B69" s="58" t="s">
        <v>877</v>
      </c>
      <c r="C69" s="167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67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67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67" t="n">
        <f aca="false">IF(ISNUMBER(INDEX(Training_Prod!$C$120:$Q$120,3*(Unit_Cost!F$6-1)+2)),INDEX(Training_Prod!$C$120:$Q$120,3*(Unit_Cost!F$6-1)+2)*Unit_Cost!F$8/1000000,INDEX(Training_Prod!$C$120:$Q$120,3*(Unit_Cost!F$6-1)+2))</f>
        <v>79.5923403673566</v>
      </c>
      <c r="G69" s="167" t="n">
        <f aca="false">IF(ISNUMBER(INDEX(Training_Prod!$C$120:$Q$120,3*(Unit_Cost!G$6-1)+2)),INDEX(Training_Prod!$C$120:$Q$120,3*(Unit_Cost!G$6-1)+2)*Unit_Cost!G$8/1000000,INDEX(Training_Prod!$C$120:$Q$120,3*(Unit_Cost!G$6-1)+2))</f>
        <v>106.272517140809</v>
      </c>
      <c r="H69" s="167" t="n">
        <f aca="false">IF(ISNUMBER(INDEX(Training_Prod!$C$120:$Q$120,3*(Unit_Cost!H$6-1)+2)),INDEX(Training_Prod!$C$120:$Q$120,3*(Unit_Cost!H$6-1)+2)*Unit_Cost!H$8/1000000,INDEX(Training_Prod!$C$120:$Q$120,3*(Unit_Cost!H$6-1)+2))</f>
        <v>172.365479677574</v>
      </c>
      <c r="I69" s="167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67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67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67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67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67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67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67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67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67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67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67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67" t="n">
        <f aca="false">IF(ISNUMBER(INDEX(Training_Prod!$S$120:$AG$120,3*(Unit_Cost!F$6-1)+2)),INDEX(Training_Prod!$S$120:$AG$120,3*(Unit_Cost!F$6-1)+2)*Unit_Cost!F$8/1000000,INDEX(Training_Prod!$S$120:$AG$120,3*(Unit_Cost!F$6-1)+2))</f>
        <v>74.0361250834957</v>
      </c>
      <c r="W69" s="167" t="n">
        <f aca="false">IF(ISNUMBER(INDEX(Training_Prod!$S$120:$AG$120,3*(Unit_Cost!G$6-1)+2)),INDEX(Training_Prod!$S$120:$AG$120,3*(Unit_Cost!G$6-1)+2)*Unit_Cost!G$8/1000000,INDEX(Training_Prod!$S$120:$AG$120,3*(Unit_Cost!G$6-1)+2))</f>
        <v>98.8538009519539</v>
      </c>
      <c r="X69" s="167" t="n">
        <f aca="false">IF(ISNUMBER(INDEX(Training_Prod!$S$120:$AG$120,3*(Unit_Cost!H$6-1)+2)),INDEX(Training_Prod!$S$120:$AG$120,3*(Unit_Cost!H$6-1)+2)*Unit_Cost!H$8/1000000,INDEX(Training_Prod!$S$120:$AG$120,3*(Unit_Cost!H$6-1)+2))</f>
        <v>160.332918401272</v>
      </c>
      <c r="Y69" s="167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67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67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67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67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67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67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67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67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0" t="s">
        <v>2382</v>
      </c>
      <c r="B78" s="58" t="s">
        <v>877</v>
      </c>
      <c r="C78" s="167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67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67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67" t="n">
        <f aca="false">IF(ISNUMBER(INDEX(Training_Prod!$C$120:$Q$120,3*(Unit_Cost!F$6-1)+3)),INDEX(Training_Prod!$C$120:$Q$120,3*(Unit_Cost!F$6-1)+3)*Unit_Cost!F$8/1000000,INDEX(Training_Prod!$C$120:$Q$120,3*(Unit_Cost!F$6-1)+3))</f>
        <v>496.148243569985</v>
      </c>
      <c r="G78" s="167" t="n">
        <f aca="false">IF(ISNUMBER(INDEX(Training_Prod!$C$120:$Q$120,3*(Unit_Cost!G$6-1)+3)),INDEX(Training_Prod!$C$120:$Q$120,3*(Unit_Cost!G$6-1)+3)*Unit_Cost!G$8/1000000,INDEX(Training_Prod!$C$120:$Q$120,3*(Unit_Cost!G$6-1)+3))</f>
        <v>662.462273075692</v>
      </c>
      <c r="H78" s="167" t="n">
        <f aca="false">IF(ISNUMBER(INDEX(Training_Prod!$C$120:$Q$120,3*(Unit_Cost!H$6-1)+3)),INDEX(Training_Prod!$C$120:$Q$120,3*(Unit_Cost!H$6-1)+3)*Unit_Cost!H$8/1000000,INDEX(Training_Prod!$C$120:$Q$120,3*(Unit_Cost!H$6-1)+3))</f>
        <v>1074.46055235235</v>
      </c>
      <c r="I78" s="167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67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67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67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67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67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67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67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67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67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67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67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67" t="n">
        <f aca="false">IF(ISNUMBER(INDEX(Training_Prod!$S$120:$AG$120,3*(Unit_Cost!F$6-1)+3)),INDEX(Training_Prod!$S$120:$AG$120,3*(Unit_Cost!F$6-1)+3)*Unit_Cost!F$8/1000000,INDEX(Training_Prod!$S$120:$AG$120,3*(Unit_Cost!F$6-1)+3))</f>
        <v>465.455930936714</v>
      </c>
      <c r="W78" s="167" t="n">
        <f aca="false">IF(ISNUMBER(INDEX(Training_Prod!$S$120:$AG$120,3*(Unit_Cost!G$6-1)+3)),INDEX(Training_Prod!$S$120:$AG$120,3*(Unit_Cost!G$6-1)+3)*Unit_Cost!G$8/1000000,INDEX(Training_Prod!$S$120:$AG$120,3*(Unit_Cost!G$6-1)+3))</f>
        <v>621.48157938889</v>
      </c>
      <c r="X78" s="167" t="n">
        <f aca="false">IF(ISNUMBER(INDEX(Training_Prod!$S$120:$AG$120,3*(Unit_Cost!H$6-1)+3)),INDEX(Training_Prod!$S$120:$AG$120,3*(Unit_Cost!H$6-1)+3)*Unit_Cost!H$8/1000000,INDEX(Training_Prod!$S$120:$AG$120,3*(Unit_Cost!H$6-1)+3))</f>
        <v>1007.99316158296</v>
      </c>
      <c r="Y78" s="167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67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67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67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67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67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67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67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67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2383</v>
      </c>
    </row>
    <row r="2" customFormat="false" ht="15" hidden="false" customHeight="false" outlineLevel="0" collapsed="false">
      <c r="A2" s="73" t="s">
        <v>2384</v>
      </c>
    </row>
    <row r="3" customFormat="false" ht="15" hidden="false" customHeight="false" outlineLevel="0" collapsed="false">
      <c r="S3" s="59" t="s">
        <v>2360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89" t="n">
        <f aca="false">Fleet_1GW!C6</f>
        <v>1</v>
      </c>
      <c r="D6" s="89" t="n">
        <f aca="false">Fleet_1GW!D6</f>
        <v>1</v>
      </c>
      <c r="E6" s="89" t="n">
        <f aca="false">Fleet_1GW!E6</f>
        <v>1</v>
      </c>
      <c r="F6" s="89" t="n">
        <f aca="false">Fleet_1GW!F6</f>
        <v>2</v>
      </c>
      <c r="G6" s="89" t="n">
        <f aca="false">Fleet_1GW!G6</f>
        <v>2</v>
      </c>
      <c r="H6" s="89" t="n">
        <f aca="false">Fleet_1GW!H6</f>
        <v>2</v>
      </c>
      <c r="I6" s="89" t="n">
        <f aca="false">Fleet_1GW!I6</f>
        <v>3</v>
      </c>
      <c r="J6" s="89" t="n">
        <f aca="false">Fleet_1GW!J6</f>
        <v>3</v>
      </c>
      <c r="K6" s="89" t="n">
        <f aca="false">Fleet_1GW!K6</f>
        <v>3</v>
      </c>
      <c r="L6" s="89" t="n">
        <f aca="false">Fleet_1GW!L6</f>
        <v>4</v>
      </c>
      <c r="M6" s="89" t="n">
        <f aca="false">Fleet_1GW!M6</f>
        <v>4</v>
      </c>
      <c r="N6" s="89" t="n">
        <f aca="false">Fleet_1GW!N6</f>
        <v>4</v>
      </c>
      <c r="O6" s="89" t="n">
        <f aca="false">Fleet_1GW!O6</f>
        <v>5</v>
      </c>
      <c r="P6" s="89" t="n">
        <f aca="false">Fleet_1GW!P6</f>
        <v>5</v>
      </c>
      <c r="Q6" s="89" t="n">
        <f aca="false">Fleet_1GW!Q6</f>
        <v>5</v>
      </c>
      <c r="S6" s="89" t="n">
        <f aca="false">Fleet_1GW!C6</f>
        <v>1</v>
      </c>
      <c r="T6" s="89" t="n">
        <f aca="false">Fleet_1GW!D6</f>
        <v>1</v>
      </c>
      <c r="U6" s="89" t="n">
        <f aca="false">Fleet_1GW!E6</f>
        <v>1</v>
      </c>
      <c r="V6" s="89" t="n">
        <f aca="false">Fleet_1GW!F6</f>
        <v>2</v>
      </c>
      <c r="W6" s="89" t="n">
        <f aca="false">Fleet_1GW!G6</f>
        <v>2</v>
      </c>
      <c r="X6" s="89" t="n">
        <f aca="false">Fleet_1GW!H6</f>
        <v>2</v>
      </c>
      <c r="Y6" s="89" t="n">
        <f aca="false">Fleet_1GW!I6</f>
        <v>3</v>
      </c>
      <c r="Z6" s="89" t="n">
        <f aca="false">Fleet_1GW!J6</f>
        <v>3</v>
      </c>
      <c r="AA6" s="89" t="n">
        <f aca="false">Fleet_1GW!K6</f>
        <v>3</v>
      </c>
      <c r="AB6" s="89" t="n">
        <f aca="false">Fleet_1GW!L6</f>
        <v>4</v>
      </c>
      <c r="AC6" s="89" t="n">
        <f aca="false">Fleet_1GW!M6</f>
        <v>4</v>
      </c>
      <c r="AD6" s="89" t="n">
        <f aca="false">Fleet_1GW!N6</f>
        <v>4</v>
      </c>
      <c r="AE6" s="89" t="n">
        <f aca="false">Fleet_1GW!O6</f>
        <v>5</v>
      </c>
      <c r="AF6" s="89" t="n">
        <f aca="false">Fleet_1GW!P6</f>
        <v>5</v>
      </c>
      <c r="AG6" s="89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89" t="n">
        <f aca="false">Fleet_1GW!C7</f>
        <v>1</v>
      </c>
      <c r="D7" s="89" t="n">
        <f aca="false">Fleet_1GW!D7</f>
        <v>2</v>
      </c>
      <c r="E7" s="89" t="n">
        <f aca="false">Fleet_1GW!E7</f>
        <v>3</v>
      </c>
      <c r="F7" s="89" t="n">
        <f aca="false">Fleet_1GW!F7</f>
        <v>4</v>
      </c>
      <c r="G7" s="89" t="n">
        <f aca="false">Fleet_1GW!G7</f>
        <v>5</v>
      </c>
      <c r="H7" s="89" t="n">
        <f aca="false">Fleet_1GW!H7</f>
        <v>6</v>
      </c>
      <c r="I7" s="89" t="n">
        <f aca="false">Fleet_1GW!I7</f>
        <v>7</v>
      </c>
      <c r="J7" s="89" t="n">
        <f aca="false">Fleet_1GW!J7</f>
        <v>8</v>
      </c>
      <c r="K7" s="89" t="n">
        <f aca="false">Fleet_1GW!K7</f>
        <v>9</v>
      </c>
      <c r="L7" s="89" t="n">
        <f aca="false">Fleet_1GW!L7</f>
        <v>10</v>
      </c>
      <c r="M7" s="89" t="n">
        <f aca="false">Fleet_1GW!M7</f>
        <v>11</v>
      </c>
      <c r="N7" s="89" t="n">
        <f aca="false">Fleet_1GW!N7</f>
        <v>12</v>
      </c>
      <c r="O7" s="89" t="n">
        <f aca="false">Fleet_1GW!O7</f>
        <v>13</v>
      </c>
      <c r="P7" s="89" t="n">
        <f aca="false">Fleet_1GW!P7</f>
        <v>14</v>
      </c>
      <c r="Q7" s="89" t="n">
        <f aca="false">Fleet_1GW!Q7</f>
        <v>15</v>
      </c>
      <c r="S7" s="89" t="n">
        <f aca="false">Fleet_1GW!C7</f>
        <v>1</v>
      </c>
      <c r="T7" s="89" t="n">
        <f aca="false">Fleet_1GW!D7</f>
        <v>2</v>
      </c>
      <c r="U7" s="89" t="n">
        <f aca="false">Fleet_1GW!E7</f>
        <v>3</v>
      </c>
      <c r="V7" s="89" t="n">
        <f aca="false">Fleet_1GW!F7</f>
        <v>4</v>
      </c>
      <c r="W7" s="89" t="n">
        <f aca="false">Fleet_1GW!G7</f>
        <v>5</v>
      </c>
      <c r="X7" s="89" t="n">
        <f aca="false">Fleet_1GW!H7</f>
        <v>6</v>
      </c>
      <c r="Y7" s="89" t="n">
        <f aca="false">Fleet_1GW!I7</f>
        <v>7</v>
      </c>
      <c r="Z7" s="89" t="n">
        <f aca="false">Fleet_1GW!J7</f>
        <v>8</v>
      </c>
      <c r="AA7" s="89" t="n">
        <f aca="false">Fleet_1GW!K7</f>
        <v>9</v>
      </c>
      <c r="AB7" s="89" t="n">
        <f aca="false">Fleet_1GW!L7</f>
        <v>10</v>
      </c>
      <c r="AC7" s="89" t="n">
        <f aca="false">Fleet_1GW!M7</f>
        <v>11</v>
      </c>
      <c r="AD7" s="89" t="n">
        <f aca="false">Fleet_1GW!N7</f>
        <v>12</v>
      </c>
      <c r="AE7" s="89" t="n">
        <f aca="false">Fleet_1GW!O7</f>
        <v>13</v>
      </c>
      <c r="AF7" s="89" t="n">
        <f aca="false">Fleet_1GW!P7</f>
        <v>14</v>
      </c>
      <c r="AG7" s="89" t="n">
        <f aca="false">Fleet_1GW!Q7</f>
        <v>15</v>
      </c>
    </row>
    <row r="18" customFormat="false" ht="15" hidden="false" customHeight="false" outlineLevel="0" collapsed="false">
      <c r="A18" s="60" t="s">
        <v>1749</v>
      </c>
      <c r="B18" s="73" t="s">
        <v>1750</v>
      </c>
      <c r="C18" s="89" t="n">
        <f aca="false">IF(AND(Fleet_1GW_Prod!C41&gt;0,Fleet_1GW_Prod!C42&gt;0),1,0)</f>
        <v>1</v>
      </c>
      <c r="D18" s="89" t="n">
        <f aca="false">IF(AND(Fleet_1GW_Prod!D41&gt;0,Fleet_1GW_Prod!D42&gt;0),1,0)</f>
        <v>1</v>
      </c>
      <c r="E18" s="89" t="n">
        <f aca="false">IF(AND(Fleet_1GW_Prod!E41&gt;0,Fleet_1GW_Prod!E42&gt;0),1,0)</f>
        <v>1</v>
      </c>
      <c r="F18" s="89" t="n">
        <f aca="false">IF(AND(Fleet_1GW_Prod!F41&gt;0,Fleet_1GW_Prod!F42&gt;0),1,0)</f>
        <v>1</v>
      </c>
      <c r="G18" s="89" t="n">
        <f aca="false">IF(AND(Fleet_1GW_Prod!G41&gt;0,Fleet_1GW_Prod!G42&gt;0),1,0)</f>
        <v>1</v>
      </c>
      <c r="H18" s="89" t="n">
        <f aca="false">IF(AND(Fleet_1GW_Prod!H41&gt;0,Fleet_1GW_Prod!H42&gt;0),1,0)</f>
        <v>1</v>
      </c>
      <c r="I18" s="89" t="n">
        <f aca="false">IF(AND(Fleet_1GW_Prod!I41&gt;0,Fleet_1GW_Prod!I42&gt;0),1,0)</f>
        <v>1</v>
      </c>
      <c r="J18" s="89" t="n">
        <f aca="false">IF(AND(Fleet_1GW_Prod!J41&gt;0,Fleet_1GW_Prod!J42&gt;0),1,0)</f>
        <v>1</v>
      </c>
      <c r="K18" s="89" t="n">
        <f aca="false">IF(AND(Fleet_1GW_Prod!K41&gt;0,Fleet_1GW_Prod!K42&gt;0),1,0)</f>
        <v>1</v>
      </c>
      <c r="L18" s="89" t="n">
        <f aca="false">IF(AND(Fleet_1GW_Prod!L41&gt;0,Fleet_1GW_Prod!L42&gt;0),1,0)</f>
        <v>1</v>
      </c>
      <c r="M18" s="89" t="n">
        <f aca="false">IF(AND(Fleet_1GW_Prod!M41&gt;0,Fleet_1GW_Prod!M42&gt;0),1,0)</f>
        <v>1</v>
      </c>
      <c r="N18" s="89" t="n">
        <f aca="false">IF(AND(Fleet_1GW_Prod!N41&gt;0,Fleet_1GW_Prod!N42&gt;0),1,0)</f>
        <v>1</v>
      </c>
      <c r="O18" s="89" t="n">
        <f aca="false">IF(AND(Fleet_1GW_Prod!O41&gt;0,Fleet_1GW_Prod!O42&gt;0),1,0)</f>
        <v>1</v>
      </c>
      <c r="P18" s="89" t="n">
        <f aca="false">IF(AND(Fleet_1GW_Prod!P41&gt;0,Fleet_1GW_Prod!P42&gt;0),1,0)</f>
        <v>1</v>
      </c>
      <c r="Q18" s="89" t="n">
        <f aca="false">IF(AND(Fleet_1GW_Prod!Q41&gt;0,Fleet_1GW_Prod!Q42&gt;0),1,0)</f>
        <v>1</v>
      </c>
      <c r="S18" s="89" t="n">
        <f aca="false">IF(AND(Fleet_1GW_Prod!S41&gt;0,Fleet_1GW_Prod!S42&gt;0),1,0)</f>
        <v>1</v>
      </c>
      <c r="T18" s="89" t="n">
        <f aca="false">IF(AND(Fleet_1GW_Prod!T41&gt;0,Fleet_1GW_Prod!T42&gt;0),1,0)</f>
        <v>1</v>
      </c>
      <c r="U18" s="89" t="n">
        <f aca="false">IF(AND(Fleet_1GW_Prod!U41&gt;0,Fleet_1GW_Prod!U42&gt;0),1,0)</f>
        <v>1</v>
      </c>
      <c r="V18" s="89" t="n">
        <f aca="false">IF(AND(Fleet_1GW_Prod!V41&gt;0,Fleet_1GW_Prod!V42&gt;0),1,0)</f>
        <v>1</v>
      </c>
      <c r="W18" s="89" t="n">
        <f aca="false">IF(AND(Fleet_1GW_Prod!W41&gt;0,Fleet_1GW_Prod!W42&gt;0),1,0)</f>
        <v>1</v>
      </c>
      <c r="X18" s="89" t="n">
        <f aca="false">IF(AND(Fleet_1GW_Prod!X41&gt;0,Fleet_1GW_Prod!X42&gt;0),1,0)</f>
        <v>1</v>
      </c>
      <c r="Y18" s="89" t="n">
        <f aca="false">IF(AND(Fleet_1GW_Prod!Y41&gt;0,Fleet_1GW_Prod!Y42&gt;0),1,0)</f>
        <v>1</v>
      </c>
      <c r="Z18" s="89" t="n">
        <f aca="false">IF(AND(Fleet_1GW_Prod!Z41&gt;0,Fleet_1GW_Prod!Z42&gt;0),1,0)</f>
        <v>1</v>
      </c>
      <c r="AA18" s="89" t="n">
        <f aca="false">IF(AND(Fleet_1GW_Prod!AA41&gt;0,Fleet_1GW_Prod!AA42&gt;0),1,0)</f>
        <v>1</v>
      </c>
      <c r="AB18" s="89" t="n">
        <f aca="false">IF(AND(Fleet_1GW_Prod!AB41&gt;0,Fleet_1GW_Prod!AB42&gt;0),1,0)</f>
        <v>1</v>
      </c>
      <c r="AC18" s="89" t="n">
        <f aca="false">IF(AND(Fleet_1GW_Prod!AC41&gt;0,Fleet_1GW_Prod!AC42&gt;0),1,0)</f>
        <v>1</v>
      </c>
      <c r="AD18" s="89" t="n">
        <f aca="false">IF(AND(Fleet_1GW_Prod!AD41&gt;0,Fleet_1GW_Prod!AD42&gt;0),1,0)</f>
        <v>1</v>
      </c>
      <c r="AE18" s="89" t="n">
        <f aca="false">IF(AND(Fleet_1GW_Prod!AE41&gt;0,Fleet_1GW_Prod!AE42&gt;0),1,0)</f>
        <v>1</v>
      </c>
      <c r="AF18" s="89" t="n">
        <f aca="false">IF(AND(Fleet_1GW_Prod!AF41&gt;0,Fleet_1GW_Prod!AF42&gt;0),1,0)</f>
        <v>1</v>
      </c>
      <c r="AG18" s="89" t="n">
        <f aca="false">IF(AND(Fleet_1GW_Prod!AG41&gt;0,Fleet_1GW_Prod!AG42&gt;0),1,0)</f>
        <v>1</v>
      </c>
    </row>
    <row r="19" customFormat="false" ht="15" hidden="false" customHeight="false" outlineLevel="0" collapsed="false">
      <c r="A19" s="60" t="s">
        <v>1751</v>
      </c>
      <c r="B19" s="58" t="s">
        <v>2362</v>
      </c>
      <c r="C19" s="62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2640104430.48051</v>
      </c>
      <c r="D19" s="62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2640104430.48051</v>
      </c>
      <c r="E19" s="62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2640104430.48051</v>
      </c>
      <c r="F19" s="62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7795864294.07022</v>
      </c>
      <c r="G19" s="62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7795864294.07022</v>
      </c>
      <c r="H19" s="62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7795864294.07022</v>
      </c>
      <c r="I19" s="62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9809101351.82166</v>
      </c>
      <c r="J19" s="62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9809101351.82166</v>
      </c>
      <c r="K19" s="62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9809101351.82166</v>
      </c>
      <c r="L19" s="62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19439497354.5752</v>
      </c>
      <c r="M19" s="62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19439497354.5752</v>
      </c>
      <c r="N19" s="62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19439497354.5752</v>
      </c>
      <c r="O19" s="62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27754809229.5331</v>
      </c>
      <c r="P19" s="62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27754809229.5331</v>
      </c>
      <c r="Q19" s="62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27754809229.5331</v>
      </c>
      <c r="S19" s="62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3709104525.11044</v>
      </c>
      <c r="T19" s="62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3709104525.11044</v>
      </c>
      <c r="U19" s="62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3709104525.11044</v>
      </c>
      <c r="V19" s="62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10289624820.3576</v>
      </c>
      <c r="W19" s="62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10289624820.3576</v>
      </c>
      <c r="X19" s="62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10289624820.3576</v>
      </c>
      <c r="Y19" s="62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13396013239.0361</v>
      </c>
      <c r="Z19" s="62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13396013239.0361</v>
      </c>
      <c r="AA19" s="62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13396013239.0361</v>
      </c>
      <c r="AB19" s="62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24850466374.1716</v>
      </c>
      <c r="AC19" s="62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24850466374.1716</v>
      </c>
      <c r="AD19" s="62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24850466374.1716</v>
      </c>
      <c r="AE19" s="62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35155039047.5893</v>
      </c>
      <c r="AF19" s="62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35155039047.5893</v>
      </c>
      <c r="AG19" s="62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35155039047.5893</v>
      </c>
    </row>
    <row r="21" customFormat="false" ht="15" hidden="false" customHeight="false" outlineLevel="0" collapsed="false">
      <c r="A21" s="61" t="s">
        <v>1753</v>
      </c>
      <c r="B21" s="58" t="s">
        <v>2362</v>
      </c>
      <c r="C21" s="62" t="n">
        <f aca="false">IF(AND(Fleet_1GW_Prod!C18=1,Fleet_1GW_Prod!C38=1),Fleet_1GW_Prod!C19*Fleet_1GW_Prod!C44,"SLO 不可達")</f>
        <v>1242402084.932</v>
      </c>
      <c r="D21" s="62" t="n">
        <f aca="false">IF(AND(Fleet_1GW_Prod!D18=1,Fleet_1GW_Prod!D38=1),Fleet_1GW_Prod!D19*Fleet_1GW_Prod!D44,"SLO 不可達")</f>
        <v>1242402084.932</v>
      </c>
      <c r="E21" s="62" t="n">
        <f aca="false">IF(AND(Fleet_1GW_Prod!E18=1,Fleet_1GW_Prod!E38=1),Fleet_1GW_Prod!E19*Fleet_1GW_Prod!E44,"SLO 不可達")</f>
        <v>1242402084.932</v>
      </c>
      <c r="F21" s="62" t="n">
        <f aca="false">IF(AND(Fleet_1GW_Prod!F18=1,Fleet_1GW_Prod!F38=1),Fleet_1GW_Prod!F19*Fleet_1GW_Prod!F44,"SLO 不可達")</f>
        <v>3118345717.62809</v>
      </c>
      <c r="G21" s="62" t="n">
        <f aca="false">IF(AND(Fleet_1GW_Prod!G18=1,Fleet_1GW_Prod!G38=1),Fleet_1GW_Prod!G19*Fleet_1GW_Prod!G44,"SLO 不可達")</f>
        <v>3118345717.62809</v>
      </c>
      <c r="H21" s="62" t="n">
        <f aca="false">IF(AND(Fleet_1GW_Prod!H18=1,Fleet_1GW_Prod!H38=1),Fleet_1GW_Prod!H19*Fleet_1GW_Prod!H44,"SLO 不可達")</f>
        <v>3118345717.62809</v>
      </c>
      <c r="I21" s="62" t="n">
        <f aca="false">IF(AND(Fleet_1GW_Prod!I18=1,Fleet_1GW_Prod!I38=1),Fleet_1GW_Prod!I19*Fleet_1GW_Prod!I44,"SLO 不可達")</f>
        <v>3923640540.72866</v>
      </c>
      <c r="J21" s="62" t="n">
        <f aca="false">IF(AND(Fleet_1GW_Prod!J18=1,Fleet_1GW_Prod!J38=1),Fleet_1GW_Prod!J19*Fleet_1GW_Prod!J44,"SLO 不可達")</f>
        <v>3923640540.72866</v>
      </c>
      <c r="K21" s="62" t="n">
        <f aca="false">IF(AND(Fleet_1GW_Prod!K18=1,Fleet_1GW_Prod!K38=1),Fleet_1GW_Prod!K19*Fleet_1GW_Prod!K44,"SLO 不可達")</f>
        <v>3923640540.72866</v>
      </c>
      <c r="L21" s="62" t="n">
        <f aca="false">IF(AND(Fleet_1GW_Prod!L18=1,Fleet_1GW_Prod!L38=1),Fleet_1GW_Prod!L19*Fleet_1GW_Prod!L44,"SLO 不可達")</f>
        <v>7775798941.83008</v>
      </c>
      <c r="M21" s="62" t="n">
        <f aca="false">IF(AND(Fleet_1GW_Prod!M18=1,Fleet_1GW_Prod!M38=1),Fleet_1GW_Prod!M19*Fleet_1GW_Prod!M44,"SLO 不可達")</f>
        <v>7775798941.83008</v>
      </c>
      <c r="N21" s="62" t="n">
        <f aca="false">IF(AND(Fleet_1GW_Prod!N18=1,Fleet_1GW_Prod!N38=1),Fleet_1GW_Prod!N19*Fleet_1GW_Prod!N44,"SLO 不可達")</f>
        <v>7775798941.83008</v>
      </c>
      <c r="O21" s="62" t="n">
        <f aca="false">IF(AND(Fleet_1GW_Prod!O18=1,Fleet_1GW_Prod!O38=1),Fleet_1GW_Prod!O19*Fleet_1GW_Prod!O44,"SLO 不可達")</f>
        <v>11101923691.8132</v>
      </c>
      <c r="P21" s="62" t="n">
        <f aca="false">IF(AND(Fleet_1GW_Prod!P18=1,Fleet_1GW_Prod!P38=1),Fleet_1GW_Prod!P19*Fleet_1GW_Prod!P44,"SLO 不可達")</f>
        <v>11101923691.8132</v>
      </c>
      <c r="Q21" s="62" t="n">
        <f aca="false">IF(AND(Fleet_1GW_Prod!Q18=1,Fleet_1GW_Prod!Q38=1),Fleet_1GW_Prod!Q19*Fleet_1GW_Prod!Q44,"SLO 不可達")</f>
        <v>11101923691.8132</v>
      </c>
      <c r="S21" s="62" t="n">
        <f aca="false">IF(AND(Fleet_1GW_Prod!S18=1,Fleet_1GW_Prod!S38=1),Fleet_1GW_Prod!S19*Fleet_1GW_Prod!S44,"SLO 不可達")</f>
        <v>1745460952.99315</v>
      </c>
      <c r="T21" s="62" t="n">
        <f aca="false">IF(AND(Fleet_1GW_Prod!T18=1,Fleet_1GW_Prod!T38=1),Fleet_1GW_Prod!T19*Fleet_1GW_Prod!T44,"SLO 不可達")</f>
        <v>1745460952.99315</v>
      </c>
      <c r="U21" s="62" t="n">
        <f aca="false">IF(AND(Fleet_1GW_Prod!U18=1,Fleet_1GW_Prod!U38=1),Fleet_1GW_Prod!U19*Fleet_1GW_Prod!U44,"SLO 不可達")</f>
        <v>1745460952.99315</v>
      </c>
      <c r="V21" s="62" t="n">
        <f aca="false">IF(AND(Fleet_1GW_Prod!V18=1,Fleet_1GW_Prod!V38=1),Fleet_1GW_Prod!V19*Fleet_1GW_Prod!V44,"SLO 不可達")</f>
        <v>4115849928.14302</v>
      </c>
      <c r="W21" s="62" t="n">
        <f aca="false">IF(AND(Fleet_1GW_Prod!W18=1,Fleet_1GW_Prod!W38=1),Fleet_1GW_Prod!W19*Fleet_1GW_Prod!W44,"SLO 不可達")</f>
        <v>4115849928.14302</v>
      </c>
      <c r="X21" s="62" t="n">
        <f aca="false">IF(AND(Fleet_1GW_Prod!X18=1,Fleet_1GW_Prod!X38=1),Fleet_1GW_Prod!X19*Fleet_1GW_Prod!X44,"SLO 不可達")</f>
        <v>4115849928.14302</v>
      </c>
      <c r="Y21" s="62" t="n">
        <f aca="false">IF(AND(Fleet_1GW_Prod!Y18=1,Fleet_1GW_Prod!Y38=1),Fleet_1GW_Prod!Y19*Fleet_1GW_Prod!Y44,"SLO 不可達")</f>
        <v>5358405295.61443</v>
      </c>
      <c r="Z21" s="62" t="n">
        <f aca="false">IF(AND(Fleet_1GW_Prod!Z18=1,Fleet_1GW_Prod!Z38=1),Fleet_1GW_Prod!Z19*Fleet_1GW_Prod!Z44,"SLO 不可達")</f>
        <v>5358405295.61443</v>
      </c>
      <c r="AA21" s="62" t="n">
        <f aca="false">IF(AND(Fleet_1GW_Prod!AA18=1,Fleet_1GW_Prod!AA38=1),Fleet_1GW_Prod!AA19*Fleet_1GW_Prod!AA44,"SLO 不可達")</f>
        <v>5358405295.61443</v>
      </c>
      <c r="AB21" s="62" t="n">
        <f aca="false">IF(AND(Fleet_1GW_Prod!AB18=1,Fleet_1GW_Prod!AB38=1),Fleet_1GW_Prod!AB19*Fleet_1GW_Prod!AB44,"SLO 不可達")</f>
        <v>9940186549.66862</v>
      </c>
      <c r="AC21" s="62" t="n">
        <f aca="false">IF(AND(Fleet_1GW_Prod!AC18=1,Fleet_1GW_Prod!AC38=1),Fleet_1GW_Prod!AC19*Fleet_1GW_Prod!AC44,"SLO 不可達")</f>
        <v>9940186549.66862</v>
      </c>
      <c r="AD21" s="62" t="n">
        <f aca="false">IF(AND(Fleet_1GW_Prod!AD18=1,Fleet_1GW_Prod!AD38=1),Fleet_1GW_Prod!AD19*Fleet_1GW_Prod!AD44,"SLO 不可達")</f>
        <v>9940186549.66862</v>
      </c>
      <c r="AE21" s="62" t="n">
        <f aca="false">IF(AND(Fleet_1GW_Prod!AE18=1,Fleet_1GW_Prod!AE38=1),Fleet_1GW_Prod!AE19*Fleet_1GW_Prod!AE44,"SLO 不可達")</f>
        <v>14062015619.0357</v>
      </c>
      <c r="AF21" s="62" t="n">
        <f aca="false">IF(AND(Fleet_1GW_Prod!AF18=1,Fleet_1GW_Prod!AF38=1),Fleet_1GW_Prod!AF19*Fleet_1GW_Prod!AF44,"SLO 不可達")</f>
        <v>14062015619.0357</v>
      </c>
      <c r="AG21" s="62" t="n">
        <f aca="false">IF(AND(Fleet_1GW_Prod!AG18=1,Fleet_1GW_Prod!AG38=1),Fleet_1GW_Prod!AG19*Fleet_1GW_Prod!AG44,"SLO 不可達")</f>
        <v>14062015619.0357</v>
      </c>
    </row>
    <row r="24" customFormat="false" ht="15" hidden="false" customHeight="false" outlineLevel="0" collapsed="false">
      <c r="A24" s="61" t="s">
        <v>1756</v>
      </c>
      <c r="B24" s="58" t="s">
        <v>2362</v>
      </c>
      <c r="C24" s="62" t="n">
        <f aca="false">IF(AND(Fleet_1GW_Prod!C18=1,Fleet_1GW_Prod!C39=1),Fleet_1GW_Prod!C19*Fleet_1GW_Prod!C45,"SLO 不可達")</f>
        <v>1397702345.5485</v>
      </c>
      <c r="D24" s="62" t="n">
        <f aca="false">IF(AND(Fleet_1GW_Prod!D18=1,Fleet_1GW_Prod!D39=1),Fleet_1GW_Prod!D19*Fleet_1GW_Prod!D45,"SLO 不可達")</f>
        <v>1397702345.5485</v>
      </c>
      <c r="E24" s="62" t="n">
        <f aca="false">IF(AND(Fleet_1GW_Prod!E18=1,Fleet_1GW_Prod!E39=1),Fleet_1GW_Prod!E19*Fleet_1GW_Prod!E45,"SLO 不可達")</f>
        <v>1397702345.5485</v>
      </c>
      <c r="F24" s="62" t="n">
        <f aca="false">IF(AND(Fleet_1GW_Prod!F18=1,Fleet_1GW_Prod!F39=1),Fleet_1GW_Prod!F19*Fleet_1GW_Prod!F45,"SLO 不可達")</f>
        <v>3508138932.3316</v>
      </c>
      <c r="G24" s="62" t="n">
        <f aca="false">IF(AND(Fleet_1GW_Prod!G18=1,Fleet_1GW_Prod!G39=1),Fleet_1GW_Prod!G19*Fleet_1GW_Prod!G45,"SLO 不可達")</f>
        <v>3508138932.3316</v>
      </c>
      <c r="H24" s="62" t="n">
        <f aca="false">IF(AND(Fleet_1GW_Prod!H18=1,Fleet_1GW_Prod!H39=1),Fleet_1GW_Prod!H19*Fleet_1GW_Prod!H45,"SLO 不可達")</f>
        <v>3508138932.3316</v>
      </c>
      <c r="I24" s="62" t="n">
        <f aca="false">IF(AND(Fleet_1GW_Prod!I18=1,Fleet_1GW_Prod!I39=1),Fleet_1GW_Prod!I19*Fleet_1GW_Prod!I45,"SLO 不可達")</f>
        <v>4414095608.31975</v>
      </c>
      <c r="J24" s="62" t="n">
        <f aca="false">IF(AND(Fleet_1GW_Prod!J18=1,Fleet_1GW_Prod!J39=1),Fleet_1GW_Prod!J19*Fleet_1GW_Prod!J45,"SLO 不可達")</f>
        <v>4414095608.31975</v>
      </c>
      <c r="K24" s="62" t="n">
        <f aca="false">IF(AND(Fleet_1GW_Prod!K18=1,Fleet_1GW_Prod!K39=1),Fleet_1GW_Prod!K19*Fleet_1GW_Prod!K45,"SLO 不可達")</f>
        <v>4414095608.31975</v>
      </c>
      <c r="L24" s="62" t="n">
        <f aca="false">IF(AND(Fleet_1GW_Prod!L18=1,Fleet_1GW_Prod!L39=1),Fleet_1GW_Prod!L19*Fleet_1GW_Prod!L45,"SLO 不可達")</f>
        <v>8747773809.55884</v>
      </c>
      <c r="M24" s="62" t="n">
        <f aca="false">IF(AND(Fleet_1GW_Prod!M18=1,Fleet_1GW_Prod!M39=1),Fleet_1GW_Prod!M19*Fleet_1GW_Prod!M45,"SLO 不可達")</f>
        <v>8747773809.55884</v>
      </c>
      <c r="N24" s="62" t="n">
        <f aca="false">IF(AND(Fleet_1GW_Prod!N18=1,Fleet_1GW_Prod!N39=1),Fleet_1GW_Prod!N19*Fleet_1GW_Prod!N45,"SLO 不可達")</f>
        <v>8747773809.55884</v>
      </c>
      <c r="O24" s="62" t="n">
        <f aca="false">IF(AND(Fleet_1GW_Prod!O18=1,Fleet_1GW_Prod!O39=1),Fleet_1GW_Prod!O19*Fleet_1GW_Prod!O45,"SLO 不可達")</f>
        <v>12489664153.2899</v>
      </c>
      <c r="P24" s="62" t="n">
        <f aca="false">IF(AND(Fleet_1GW_Prod!P18=1,Fleet_1GW_Prod!P39=1),Fleet_1GW_Prod!P19*Fleet_1GW_Prod!P45,"SLO 不可達")</f>
        <v>12489664153.2899</v>
      </c>
      <c r="Q24" s="62" t="n">
        <f aca="false">IF(AND(Fleet_1GW_Prod!Q18=1,Fleet_1GW_Prod!Q39=1),Fleet_1GW_Prod!Q19*Fleet_1GW_Prod!Q45,"SLO 不可達")</f>
        <v>12489664153.2899</v>
      </c>
      <c r="S24" s="62" t="n">
        <f aca="false">IF(AND(Fleet_1GW_Prod!S18=1,Fleet_1GW_Prod!S39=1),Fleet_1GW_Prod!S19*Fleet_1GW_Prod!S45,"SLO 不可達")</f>
        <v>1963643572.11729</v>
      </c>
      <c r="T24" s="62" t="n">
        <f aca="false">IF(AND(Fleet_1GW_Prod!T18=1,Fleet_1GW_Prod!T39=1),Fleet_1GW_Prod!T19*Fleet_1GW_Prod!T45,"SLO 不可達")</f>
        <v>1963643572.11729</v>
      </c>
      <c r="U24" s="62" t="n">
        <f aca="false">IF(AND(Fleet_1GW_Prod!U18=1,Fleet_1GW_Prod!U39=1),Fleet_1GW_Prod!U19*Fleet_1GW_Prod!U45,"SLO 不可達")</f>
        <v>1963643572.11729</v>
      </c>
      <c r="V24" s="62" t="n">
        <f aca="false">IF(AND(Fleet_1GW_Prod!V18=1,Fleet_1GW_Prod!V39=1),Fleet_1GW_Prod!V19*Fleet_1GW_Prod!V45,"SLO 不可達")</f>
        <v>4630331169.1609</v>
      </c>
      <c r="W24" s="62" t="n">
        <f aca="false">IF(AND(Fleet_1GW_Prod!W18=1,Fleet_1GW_Prod!W39=1),Fleet_1GW_Prod!W19*Fleet_1GW_Prod!W45,"SLO 不可達")</f>
        <v>4630331169.1609</v>
      </c>
      <c r="X24" s="62" t="n">
        <f aca="false">IF(AND(Fleet_1GW_Prod!X18=1,Fleet_1GW_Prod!X39=1),Fleet_1GW_Prod!X19*Fleet_1GW_Prod!X45,"SLO 不可達")</f>
        <v>4630331169.1609</v>
      </c>
      <c r="Y24" s="62" t="n">
        <f aca="false">IF(AND(Fleet_1GW_Prod!Y18=1,Fleet_1GW_Prod!Y39=1),Fleet_1GW_Prod!Y19*Fleet_1GW_Prod!Y45,"SLO 不可達")</f>
        <v>6028205957.56624</v>
      </c>
      <c r="Z24" s="62" t="n">
        <f aca="false">IF(AND(Fleet_1GW_Prod!Z18=1,Fleet_1GW_Prod!Z39=1),Fleet_1GW_Prod!Z19*Fleet_1GW_Prod!Z45,"SLO 不可達")</f>
        <v>6028205957.56624</v>
      </c>
      <c r="AA24" s="62" t="n">
        <f aca="false">IF(AND(Fleet_1GW_Prod!AA18=1,Fleet_1GW_Prod!AA39=1),Fleet_1GW_Prod!AA19*Fleet_1GW_Prod!AA45,"SLO 不可達")</f>
        <v>6028205957.56624</v>
      </c>
      <c r="AB24" s="62" t="n">
        <f aca="false">IF(AND(Fleet_1GW_Prod!AB18=1,Fleet_1GW_Prod!AB39=1),Fleet_1GW_Prod!AB19*Fleet_1GW_Prod!AB45,"SLO 不可達")</f>
        <v>11182709868.3772</v>
      </c>
      <c r="AC24" s="62" t="n">
        <f aca="false">IF(AND(Fleet_1GW_Prod!AC18=1,Fleet_1GW_Prod!AC39=1),Fleet_1GW_Prod!AC19*Fleet_1GW_Prod!AC45,"SLO 不可達")</f>
        <v>11182709868.3772</v>
      </c>
      <c r="AD24" s="62" t="n">
        <f aca="false">IF(AND(Fleet_1GW_Prod!AD18=1,Fleet_1GW_Prod!AD39=1),Fleet_1GW_Prod!AD19*Fleet_1GW_Prod!AD45,"SLO 不可達")</f>
        <v>11182709868.3772</v>
      </c>
      <c r="AE24" s="62" t="n">
        <f aca="false">IF(AND(Fleet_1GW_Prod!AE18=1,Fleet_1GW_Prod!AE39=1),Fleet_1GW_Prod!AE19*Fleet_1GW_Prod!AE45,"SLO 不可達")</f>
        <v>15819767571.4152</v>
      </c>
      <c r="AF24" s="62" t="n">
        <f aca="false">IF(AND(Fleet_1GW_Prod!AF18=1,Fleet_1GW_Prod!AF39=1),Fleet_1GW_Prod!AF19*Fleet_1GW_Prod!AF45,"SLO 不可達")</f>
        <v>15819767571.4152</v>
      </c>
      <c r="AG24" s="62" t="n">
        <f aca="false">IF(AND(Fleet_1GW_Prod!AG18=1,Fleet_1GW_Prod!AG39=1),Fleet_1GW_Prod!AG19*Fleet_1GW_Prod!AG45,"SLO 不可達")</f>
        <v>15819767571.4152</v>
      </c>
    </row>
    <row r="27" customFormat="false" ht="15" hidden="false" customHeight="false" outlineLevel="0" collapsed="false">
      <c r="A27" s="61" t="s">
        <v>1759</v>
      </c>
      <c r="B27" s="58" t="s">
        <v>2362</v>
      </c>
      <c r="C27" s="62" t="str">
        <f aca="false">IF(AND(Fleet_1GW_Prod!C18=1,Fleet_1GW_Prod!C40=1),Fleet_1GW_Prod!C19*Fleet_1GW_Prod!C46,"SLO 不可達")</f>
        <v>SLO 不可達</v>
      </c>
      <c r="D27" s="62" t="str">
        <f aca="false">IF(AND(Fleet_1GW_Prod!D18=1,Fleet_1GW_Prod!D40=1),Fleet_1GW_Prod!D19*Fleet_1GW_Prod!D46,"SLO 不可達")</f>
        <v>SLO 不可達</v>
      </c>
      <c r="E27" s="62" t="str">
        <f aca="false">IF(AND(Fleet_1GW_Prod!E18=1,Fleet_1GW_Prod!E40=1),Fleet_1GW_Prod!E19*Fleet_1GW_Prod!E46,"SLO 不可達")</f>
        <v>SLO 不可達</v>
      </c>
      <c r="F27" s="62" t="n">
        <f aca="false">IF(AND(Fleet_1GW_Prod!F18=1,Fleet_1GW_Prod!F40=1),Fleet_1GW_Prod!F19*Fleet_1GW_Prod!F46,"SLO 不可達")</f>
        <v>1169379644.11053</v>
      </c>
      <c r="G27" s="62" t="n">
        <f aca="false">IF(AND(Fleet_1GW_Prod!G18=1,Fleet_1GW_Prod!G40=1),Fleet_1GW_Prod!G19*Fleet_1GW_Prod!G46,"SLO 不可達")</f>
        <v>1169379644.11053</v>
      </c>
      <c r="H27" s="62" t="n">
        <f aca="false">IF(AND(Fleet_1GW_Prod!H18=1,Fleet_1GW_Prod!H40=1),Fleet_1GW_Prod!H19*Fleet_1GW_Prod!H46,"SLO 不可達")</f>
        <v>1169379644.11053</v>
      </c>
      <c r="I27" s="62" t="n">
        <f aca="false">IF(AND(Fleet_1GW_Prod!I18=1,Fleet_1GW_Prod!I40=1),Fleet_1GW_Prod!I19*Fleet_1GW_Prod!I46,"SLO 不可達")</f>
        <v>1471365202.77325</v>
      </c>
      <c r="J27" s="62" t="n">
        <f aca="false">IF(AND(Fleet_1GW_Prod!J18=1,Fleet_1GW_Prod!J40=1),Fleet_1GW_Prod!J19*Fleet_1GW_Prod!J46,"SLO 不可達")</f>
        <v>1471365202.77325</v>
      </c>
      <c r="K27" s="62" t="n">
        <f aca="false">IF(AND(Fleet_1GW_Prod!K18=1,Fleet_1GW_Prod!K40=1),Fleet_1GW_Prod!K19*Fleet_1GW_Prod!K46,"SLO 不可達")</f>
        <v>1471365202.77325</v>
      </c>
      <c r="L27" s="62" t="n">
        <f aca="false">IF(AND(Fleet_1GW_Prod!L18=1,Fleet_1GW_Prod!L40=1),Fleet_1GW_Prod!L19*Fleet_1GW_Prod!L46,"SLO 不可達")</f>
        <v>2915924603.18628</v>
      </c>
      <c r="M27" s="62" t="n">
        <f aca="false">IF(AND(Fleet_1GW_Prod!M18=1,Fleet_1GW_Prod!M40=1),Fleet_1GW_Prod!M19*Fleet_1GW_Prod!M46,"SLO 不可達")</f>
        <v>2915924603.18628</v>
      </c>
      <c r="N27" s="62" t="n">
        <f aca="false">IF(AND(Fleet_1GW_Prod!N18=1,Fleet_1GW_Prod!N40=1),Fleet_1GW_Prod!N19*Fleet_1GW_Prod!N46,"SLO 不可達")</f>
        <v>2915924603.18628</v>
      </c>
      <c r="O27" s="62" t="n">
        <f aca="false">IF(AND(Fleet_1GW_Prod!O18=1,Fleet_1GW_Prod!O40=1),Fleet_1GW_Prod!O19*Fleet_1GW_Prod!O46,"SLO 不可達")</f>
        <v>4163221384.42996</v>
      </c>
      <c r="P27" s="62" t="n">
        <f aca="false">IF(AND(Fleet_1GW_Prod!P18=1,Fleet_1GW_Prod!P40=1),Fleet_1GW_Prod!P19*Fleet_1GW_Prod!P46,"SLO 不可達")</f>
        <v>4163221384.42996</v>
      </c>
      <c r="Q27" s="62" t="n">
        <f aca="false">IF(AND(Fleet_1GW_Prod!Q18=1,Fleet_1GW_Prod!Q40=1),Fleet_1GW_Prod!Q19*Fleet_1GW_Prod!Q46,"SLO 不可達")</f>
        <v>4163221384.42996</v>
      </c>
      <c r="S27" s="62" t="str">
        <f aca="false">IF(AND(Fleet_1GW_Prod!S18=1,Fleet_1GW_Prod!S40=1),Fleet_1GW_Prod!S19*Fleet_1GW_Prod!S46,"SLO 不可達")</f>
        <v>SLO 不可達</v>
      </c>
      <c r="T27" s="62" t="str">
        <f aca="false">IF(AND(Fleet_1GW_Prod!T18=1,Fleet_1GW_Prod!T40=1),Fleet_1GW_Prod!T19*Fleet_1GW_Prod!T46,"SLO 不可達")</f>
        <v>SLO 不可達</v>
      </c>
      <c r="U27" s="62" t="str">
        <f aca="false">IF(AND(Fleet_1GW_Prod!U18=1,Fleet_1GW_Prod!U40=1),Fleet_1GW_Prod!U19*Fleet_1GW_Prod!U46,"SLO 不可達")</f>
        <v>SLO 不可達</v>
      </c>
      <c r="V27" s="62" t="n">
        <f aca="false">IF(AND(Fleet_1GW_Prod!V18=1,Fleet_1GW_Prod!V40=1),Fleet_1GW_Prod!V19*Fleet_1GW_Prod!V46,"SLO 不可達")</f>
        <v>1543443723.05363</v>
      </c>
      <c r="W27" s="62" t="n">
        <f aca="false">IF(AND(Fleet_1GW_Prod!W18=1,Fleet_1GW_Prod!W40=1),Fleet_1GW_Prod!W19*Fleet_1GW_Prod!W46,"SLO 不可達")</f>
        <v>1543443723.05363</v>
      </c>
      <c r="X27" s="62" t="n">
        <f aca="false">IF(AND(Fleet_1GW_Prod!X18=1,Fleet_1GW_Prod!X40=1),Fleet_1GW_Prod!X19*Fleet_1GW_Prod!X46,"SLO 不可達")</f>
        <v>1543443723.05363</v>
      </c>
      <c r="Y27" s="62" t="n">
        <f aca="false">IF(AND(Fleet_1GW_Prod!Y18=1,Fleet_1GW_Prod!Y40=1),Fleet_1GW_Prod!Y19*Fleet_1GW_Prod!Y46,"SLO 不可達")</f>
        <v>2009401985.85541</v>
      </c>
      <c r="Z27" s="62" t="n">
        <f aca="false">IF(AND(Fleet_1GW_Prod!Z18=1,Fleet_1GW_Prod!Z40=1),Fleet_1GW_Prod!Z19*Fleet_1GW_Prod!Z46,"SLO 不可達")</f>
        <v>2009401985.85541</v>
      </c>
      <c r="AA27" s="62" t="n">
        <f aca="false">IF(AND(Fleet_1GW_Prod!AA18=1,Fleet_1GW_Prod!AA40=1),Fleet_1GW_Prod!AA19*Fleet_1GW_Prod!AA46,"SLO 不可達")</f>
        <v>2009401985.85541</v>
      </c>
      <c r="AB27" s="62" t="n">
        <f aca="false">IF(AND(Fleet_1GW_Prod!AB18=1,Fleet_1GW_Prod!AB40=1),Fleet_1GW_Prod!AB19*Fleet_1GW_Prod!AB46,"SLO 不可達")</f>
        <v>3727569956.12573</v>
      </c>
      <c r="AC27" s="62" t="n">
        <f aca="false">IF(AND(Fleet_1GW_Prod!AC18=1,Fleet_1GW_Prod!AC40=1),Fleet_1GW_Prod!AC19*Fleet_1GW_Prod!AC46,"SLO 不可達")</f>
        <v>3727569956.12573</v>
      </c>
      <c r="AD27" s="62" t="n">
        <f aca="false">IF(AND(Fleet_1GW_Prod!AD18=1,Fleet_1GW_Prod!AD40=1),Fleet_1GW_Prod!AD19*Fleet_1GW_Prod!AD46,"SLO 不可達")</f>
        <v>3727569956.12573</v>
      </c>
      <c r="AE27" s="62" t="n">
        <f aca="false">IF(AND(Fleet_1GW_Prod!AE18=1,Fleet_1GW_Prod!AE40=1),Fleet_1GW_Prod!AE19*Fleet_1GW_Prod!AE46,"SLO 不可達")</f>
        <v>5273255857.1384</v>
      </c>
      <c r="AF27" s="62" t="n">
        <f aca="false">IF(AND(Fleet_1GW_Prod!AF18=1,Fleet_1GW_Prod!AF40=1),Fleet_1GW_Prod!AF19*Fleet_1GW_Prod!AF46,"SLO 不可達")</f>
        <v>5273255857.1384</v>
      </c>
      <c r="AG27" s="62" t="n">
        <f aca="false">IF(AND(Fleet_1GW_Prod!AG18=1,Fleet_1GW_Prod!AG40=1),Fleet_1GW_Prod!AG19*Fleet_1GW_Prod!AG46,"SLO 不可達")</f>
        <v>5273255857.1384</v>
      </c>
    </row>
    <row r="38" customFormat="false" ht="15" hidden="false" customHeight="false" outlineLevel="0" collapsed="false">
      <c r="A38" s="61" t="s">
        <v>1768</v>
      </c>
      <c r="B38" s="73" t="s">
        <v>1750</v>
      </c>
      <c r="C38" s="89" t="n">
        <f aca="false">IF(ISNUMBER(INDEX(Interface_Prod!$C$21:$Q$21,1,Fleet_1GW!C$7)),IF(INDEX(Interface_Prod!$C$21:$Q$21,1,Fleet_1GW!C$7)&gt;0,1,0),0)</f>
        <v>1</v>
      </c>
      <c r="D38" s="89" t="n">
        <f aca="false">IF(ISNUMBER(INDEX(Interface_Prod!$C$21:$Q$21,1,Fleet_1GW!D$7)),IF(INDEX(Interface_Prod!$C$21:$Q$21,1,Fleet_1GW!D$7)&gt;0,1,0),0)</f>
        <v>1</v>
      </c>
      <c r="E38" s="89" t="n">
        <f aca="false">IF(ISNUMBER(INDEX(Interface_Prod!$C$21:$Q$21,1,Fleet_1GW!E$7)),IF(INDEX(Interface_Prod!$C$21:$Q$21,1,Fleet_1GW!E$7)&gt;0,1,0),0)</f>
        <v>1</v>
      </c>
      <c r="F38" s="89" t="n">
        <f aca="false">IF(ISNUMBER(INDEX(Interface_Prod!$C$21:$Q$21,1,Fleet_1GW!F$7)),IF(INDEX(Interface_Prod!$C$21:$Q$21,1,Fleet_1GW!F$7)&gt;0,1,0),0)</f>
        <v>1</v>
      </c>
      <c r="G38" s="89" t="n">
        <f aca="false">IF(ISNUMBER(INDEX(Interface_Prod!$C$21:$Q$21,1,Fleet_1GW!G$7)),IF(INDEX(Interface_Prod!$C$21:$Q$21,1,Fleet_1GW!G$7)&gt;0,1,0),0)</f>
        <v>1</v>
      </c>
      <c r="H38" s="89" t="n">
        <f aca="false">IF(ISNUMBER(INDEX(Interface_Prod!$C$21:$Q$21,1,Fleet_1GW!H$7)),IF(INDEX(Interface_Prod!$C$21:$Q$21,1,Fleet_1GW!H$7)&gt;0,1,0),0)</f>
        <v>1</v>
      </c>
      <c r="I38" s="89" t="n">
        <f aca="false">IF(ISNUMBER(INDEX(Interface_Prod!$C$21:$Q$21,1,Fleet_1GW!I$7)),IF(INDEX(Interface_Prod!$C$21:$Q$21,1,Fleet_1GW!I$7)&gt;0,1,0),0)</f>
        <v>1</v>
      </c>
      <c r="J38" s="89" t="n">
        <f aca="false">IF(ISNUMBER(INDEX(Interface_Prod!$C$21:$Q$21,1,Fleet_1GW!J$7)),IF(INDEX(Interface_Prod!$C$21:$Q$21,1,Fleet_1GW!J$7)&gt;0,1,0),0)</f>
        <v>1</v>
      </c>
      <c r="K38" s="89" t="n">
        <f aca="false">IF(ISNUMBER(INDEX(Interface_Prod!$C$21:$Q$21,1,Fleet_1GW!K$7)),IF(INDEX(Interface_Prod!$C$21:$Q$21,1,Fleet_1GW!K$7)&gt;0,1,0),0)</f>
        <v>1</v>
      </c>
      <c r="L38" s="89" t="n">
        <f aca="false">IF(ISNUMBER(INDEX(Interface_Prod!$C$21:$Q$21,1,Fleet_1GW!L$7)),IF(INDEX(Interface_Prod!$C$21:$Q$21,1,Fleet_1GW!L$7)&gt;0,1,0),0)</f>
        <v>1</v>
      </c>
      <c r="M38" s="89" t="n">
        <f aca="false">IF(ISNUMBER(INDEX(Interface_Prod!$C$21:$Q$21,1,Fleet_1GW!M$7)),IF(INDEX(Interface_Prod!$C$21:$Q$21,1,Fleet_1GW!M$7)&gt;0,1,0),0)</f>
        <v>1</v>
      </c>
      <c r="N38" s="89" t="n">
        <f aca="false">IF(ISNUMBER(INDEX(Interface_Prod!$C$21:$Q$21,1,Fleet_1GW!N$7)),IF(INDEX(Interface_Prod!$C$21:$Q$21,1,Fleet_1GW!N$7)&gt;0,1,0),0)</f>
        <v>1</v>
      </c>
      <c r="O38" s="89" t="n">
        <f aca="false">IF(ISNUMBER(INDEX(Interface_Prod!$C$21:$Q$21,1,Fleet_1GW!O$7)),IF(INDEX(Interface_Prod!$C$21:$Q$21,1,Fleet_1GW!O$7)&gt;0,1,0),0)</f>
        <v>1</v>
      </c>
      <c r="P38" s="89" t="n">
        <f aca="false">IF(ISNUMBER(INDEX(Interface_Prod!$C$21:$Q$21,1,Fleet_1GW!P$7)),IF(INDEX(Interface_Prod!$C$21:$Q$21,1,Fleet_1GW!P$7)&gt;0,1,0),0)</f>
        <v>1</v>
      </c>
      <c r="Q38" s="89" t="n">
        <f aca="false">IF(ISNUMBER(INDEX(Interface_Prod!$C$21:$Q$21,1,Fleet_1GW!Q$7)),IF(INDEX(Interface_Prod!$C$21:$Q$21,1,Fleet_1GW!Q$7)&gt;0,1,0),0)</f>
        <v>1</v>
      </c>
      <c r="S38" s="89" t="n">
        <f aca="false">IF(ISNUMBER(INDEX(Interface_Prod!$S$21:$AG$21,1,Fleet_1GW!C$7)),IF(INDEX(Interface_Prod!$S$21:$AG$21,1,Fleet_1GW!C$7)&gt;0,1,0),0)</f>
        <v>1</v>
      </c>
      <c r="T38" s="89" t="n">
        <f aca="false">IF(ISNUMBER(INDEX(Interface_Prod!$S$21:$AG$21,1,Fleet_1GW!D$7)),IF(INDEX(Interface_Prod!$S$21:$AG$21,1,Fleet_1GW!D$7)&gt;0,1,0),0)</f>
        <v>1</v>
      </c>
      <c r="U38" s="89" t="n">
        <f aca="false">IF(ISNUMBER(INDEX(Interface_Prod!$S$21:$AG$21,1,Fleet_1GW!E$7)),IF(INDEX(Interface_Prod!$S$21:$AG$21,1,Fleet_1GW!E$7)&gt;0,1,0),0)</f>
        <v>1</v>
      </c>
      <c r="V38" s="89" t="n">
        <f aca="false">IF(ISNUMBER(INDEX(Interface_Prod!$S$21:$AG$21,1,Fleet_1GW!F$7)),IF(INDEX(Interface_Prod!$S$21:$AG$21,1,Fleet_1GW!F$7)&gt;0,1,0),0)</f>
        <v>1</v>
      </c>
      <c r="W38" s="89" t="n">
        <f aca="false">IF(ISNUMBER(INDEX(Interface_Prod!$S$21:$AG$21,1,Fleet_1GW!G$7)),IF(INDEX(Interface_Prod!$S$21:$AG$21,1,Fleet_1GW!G$7)&gt;0,1,0),0)</f>
        <v>1</v>
      </c>
      <c r="X38" s="89" t="n">
        <f aca="false">IF(ISNUMBER(INDEX(Interface_Prod!$S$21:$AG$21,1,Fleet_1GW!H$7)),IF(INDEX(Interface_Prod!$S$21:$AG$21,1,Fleet_1GW!H$7)&gt;0,1,0),0)</f>
        <v>1</v>
      </c>
      <c r="Y38" s="89" t="n">
        <f aca="false">IF(ISNUMBER(INDEX(Interface_Prod!$S$21:$AG$21,1,Fleet_1GW!I$7)),IF(INDEX(Interface_Prod!$S$21:$AG$21,1,Fleet_1GW!I$7)&gt;0,1,0),0)</f>
        <v>1</v>
      </c>
      <c r="Z38" s="89" t="n">
        <f aca="false">IF(ISNUMBER(INDEX(Interface_Prod!$S$21:$AG$21,1,Fleet_1GW!J$7)),IF(INDEX(Interface_Prod!$S$21:$AG$21,1,Fleet_1GW!J$7)&gt;0,1,0),0)</f>
        <v>1</v>
      </c>
      <c r="AA38" s="89" t="n">
        <f aca="false">IF(ISNUMBER(INDEX(Interface_Prod!$S$21:$AG$21,1,Fleet_1GW!K$7)),IF(INDEX(Interface_Prod!$S$21:$AG$21,1,Fleet_1GW!K$7)&gt;0,1,0),0)</f>
        <v>1</v>
      </c>
      <c r="AB38" s="89" t="n">
        <f aca="false">IF(ISNUMBER(INDEX(Interface_Prod!$S$21:$AG$21,1,Fleet_1GW!L$7)),IF(INDEX(Interface_Prod!$S$21:$AG$21,1,Fleet_1GW!L$7)&gt;0,1,0),0)</f>
        <v>1</v>
      </c>
      <c r="AC38" s="89" t="n">
        <f aca="false">IF(ISNUMBER(INDEX(Interface_Prod!$S$21:$AG$21,1,Fleet_1GW!M$7)),IF(INDEX(Interface_Prod!$S$21:$AG$21,1,Fleet_1GW!M$7)&gt;0,1,0),0)</f>
        <v>1</v>
      </c>
      <c r="AD38" s="89" t="n">
        <f aca="false">IF(ISNUMBER(INDEX(Interface_Prod!$S$21:$AG$21,1,Fleet_1GW!N$7)),IF(INDEX(Interface_Prod!$S$21:$AG$21,1,Fleet_1GW!N$7)&gt;0,1,0),0)</f>
        <v>1</v>
      </c>
      <c r="AE38" s="89" t="n">
        <f aca="false">IF(ISNUMBER(INDEX(Interface_Prod!$S$21:$AG$21,1,Fleet_1GW!O$7)),IF(INDEX(Interface_Prod!$S$21:$AG$21,1,Fleet_1GW!O$7)&gt;0,1,0),0)</f>
        <v>1</v>
      </c>
      <c r="AF38" s="89" t="n">
        <f aca="false">IF(ISNUMBER(INDEX(Interface_Prod!$S$21:$AG$21,1,Fleet_1GW!P$7)),IF(INDEX(Interface_Prod!$S$21:$AG$21,1,Fleet_1GW!P$7)&gt;0,1,0),0)</f>
        <v>1</v>
      </c>
      <c r="AG38" s="89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1" t="s">
        <v>1769</v>
      </c>
      <c r="B39" s="73" t="s">
        <v>1750</v>
      </c>
      <c r="C39" s="89" t="n">
        <f aca="false">IF(ISNUMBER(INDEX(Interface_Prod!$C$31:$Q$31,1,Fleet_1GW!C$7)),IF(INDEX(Interface_Prod!$C$31:$Q$31,1,Fleet_1GW!C$7)&gt;0,1,0),0)</f>
        <v>1</v>
      </c>
      <c r="D39" s="89" t="n">
        <f aca="false">IF(ISNUMBER(INDEX(Interface_Prod!$C$31:$Q$31,1,Fleet_1GW!D$7)),IF(INDEX(Interface_Prod!$C$31:$Q$31,1,Fleet_1GW!D$7)&gt;0,1,0),0)</f>
        <v>1</v>
      </c>
      <c r="E39" s="89" t="n">
        <f aca="false">IF(ISNUMBER(INDEX(Interface_Prod!$C$31:$Q$31,1,Fleet_1GW!E$7)),IF(INDEX(Interface_Prod!$C$31:$Q$31,1,Fleet_1GW!E$7)&gt;0,1,0),0)</f>
        <v>1</v>
      </c>
      <c r="F39" s="89" t="n">
        <f aca="false">IF(ISNUMBER(INDEX(Interface_Prod!$C$31:$Q$31,1,Fleet_1GW!F$7)),IF(INDEX(Interface_Prod!$C$31:$Q$31,1,Fleet_1GW!F$7)&gt;0,1,0),0)</f>
        <v>1</v>
      </c>
      <c r="G39" s="89" t="n">
        <f aca="false">IF(ISNUMBER(INDEX(Interface_Prod!$C$31:$Q$31,1,Fleet_1GW!G$7)),IF(INDEX(Interface_Prod!$C$31:$Q$31,1,Fleet_1GW!G$7)&gt;0,1,0),0)</f>
        <v>1</v>
      </c>
      <c r="H39" s="89" t="n">
        <f aca="false">IF(ISNUMBER(INDEX(Interface_Prod!$C$31:$Q$31,1,Fleet_1GW!H$7)),IF(INDEX(Interface_Prod!$C$31:$Q$31,1,Fleet_1GW!H$7)&gt;0,1,0),0)</f>
        <v>1</v>
      </c>
      <c r="I39" s="89" t="n">
        <f aca="false">IF(ISNUMBER(INDEX(Interface_Prod!$C$31:$Q$31,1,Fleet_1GW!I$7)),IF(INDEX(Interface_Prod!$C$31:$Q$31,1,Fleet_1GW!I$7)&gt;0,1,0),0)</f>
        <v>1</v>
      </c>
      <c r="J39" s="89" t="n">
        <f aca="false">IF(ISNUMBER(INDEX(Interface_Prod!$C$31:$Q$31,1,Fleet_1GW!J$7)),IF(INDEX(Interface_Prod!$C$31:$Q$31,1,Fleet_1GW!J$7)&gt;0,1,0),0)</f>
        <v>1</v>
      </c>
      <c r="K39" s="89" t="n">
        <f aca="false">IF(ISNUMBER(INDEX(Interface_Prod!$C$31:$Q$31,1,Fleet_1GW!K$7)),IF(INDEX(Interface_Prod!$C$31:$Q$31,1,Fleet_1GW!K$7)&gt;0,1,0),0)</f>
        <v>1</v>
      </c>
      <c r="L39" s="89" t="n">
        <f aca="false">IF(ISNUMBER(INDEX(Interface_Prod!$C$31:$Q$31,1,Fleet_1GW!L$7)),IF(INDEX(Interface_Prod!$C$31:$Q$31,1,Fleet_1GW!L$7)&gt;0,1,0),0)</f>
        <v>1</v>
      </c>
      <c r="M39" s="89" t="n">
        <f aca="false">IF(ISNUMBER(INDEX(Interface_Prod!$C$31:$Q$31,1,Fleet_1GW!M$7)),IF(INDEX(Interface_Prod!$C$31:$Q$31,1,Fleet_1GW!M$7)&gt;0,1,0),0)</f>
        <v>1</v>
      </c>
      <c r="N39" s="89" t="n">
        <f aca="false">IF(ISNUMBER(INDEX(Interface_Prod!$C$31:$Q$31,1,Fleet_1GW!N$7)),IF(INDEX(Interface_Prod!$C$31:$Q$31,1,Fleet_1GW!N$7)&gt;0,1,0),0)</f>
        <v>1</v>
      </c>
      <c r="O39" s="89" t="n">
        <f aca="false">IF(ISNUMBER(INDEX(Interface_Prod!$C$31:$Q$31,1,Fleet_1GW!O$7)),IF(INDEX(Interface_Prod!$C$31:$Q$31,1,Fleet_1GW!O$7)&gt;0,1,0),0)</f>
        <v>1</v>
      </c>
      <c r="P39" s="89" t="n">
        <f aca="false">IF(ISNUMBER(INDEX(Interface_Prod!$C$31:$Q$31,1,Fleet_1GW!P$7)),IF(INDEX(Interface_Prod!$C$31:$Q$31,1,Fleet_1GW!P$7)&gt;0,1,0),0)</f>
        <v>1</v>
      </c>
      <c r="Q39" s="89" t="n">
        <f aca="false">IF(ISNUMBER(INDEX(Interface_Prod!$C$31:$Q$31,1,Fleet_1GW!Q$7)),IF(INDEX(Interface_Prod!$C$31:$Q$31,1,Fleet_1GW!Q$7)&gt;0,1,0),0)</f>
        <v>1</v>
      </c>
      <c r="S39" s="89" t="n">
        <f aca="false">IF(ISNUMBER(INDEX(Interface_Prod!$S$31:$AG$31,1,Fleet_1GW!C$7)),IF(INDEX(Interface_Prod!$S$31:$AG$31,1,Fleet_1GW!C$7)&gt;0,1,0),0)</f>
        <v>1</v>
      </c>
      <c r="T39" s="89" t="n">
        <f aca="false">IF(ISNUMBER(INDEX(Interface_Prod!$S$31:$AG$31,1,Fleet_1GW!D$7)),IF(INDEX(Interface_Prod!$S$31:$AG$31,1,Fleet_1GW!D$7)&gt;0,1,0),0)</f>
        <v>1</v>
      </c>
      <c r="U39" s="89" t="n">
        <f aca="false">IF(ISNUMBER(INDEX(Interface_Prod!$S$31:$AG$31,1,Fleet_1GW!E$7)),IF(INDEX(Interface_Prod!$S$31:$AG$31,1,Fleet_1GW!E$7)&gt;0,1,0),0)</f>
        <v>1</v>
      </c>
      <c r="V39" s="89" t="n">
        <f aca="false">IF(ISNUMBER(INDEX(Interface_Prod!$S$31:$AG$31,1,Fleet_1GW!F$7)),IF(INDEX(Interface_Prod!$S$31:$AG$31,1,Fleet_1GW!F$7)&gt;0,1,0),0)</f>
        <v>1</v>
      </c>
      <c r="W39" s="89" t="n">
        <f aca="false">IF(ISNUMBER(INDEX(Interface_Prod!$S$31:$AG$31,1,Fleet_1GW!G$7)),IF(INDEX(Interface_Prod!$S$31:$AG$31,1,Fleet_1GW!G$7)&gt;0,1,0),0)</f>
        <v>1</v>
      </c>
      <c r="X39" s="89" t="n">
        <f aca="false">IF(ISNUMBER(INDEX(Interface_Prod!$S$31:$AG$31,1,Fleet_1GW!H$7)),IF(INDEX(Interface_Prod!$S$31:$AG$31,1,Fleet_1GW!H$7)&gt;0,1,0),0)</f>
        <v>1</v>
      </c>
      <c r="Y39" s="89" t="n">
        <f aca="false">IF(ISNUMBER(INDEX(Interface_Prod!$S$31:$AG$31,1,Fleet_1GW!I$7)),IF(INDEX(Interface_Prod!$S$31:$AG$31,1,Fleet_1GW!I$7)&gt;0,1,0),0)</f>
        <v>1</v>
      </c>
      <c r="Z39" s="89" t="n">
        <f aca="false">IF(ISNUMBER(INDEX(Interface_Prod!$S$31:$AG$31,1,Fleet_1GW!J$7)),IF(INDEX(Interface_Prod!$S$31:$AG$31,1,Fleet_1GW!J$7)&gt;0,1,0),0)</f>
        <v>1</v>
      </c>
      <c r="AA39" s="89" t="n">
        <f aca="false">IF(ISNUMBER(INDEX(Interface_Prod!$S$31:$AG$31,1,Fleet_1GW!K$7)),IF(INDEX(Interface_Prod!$S$31:$AG$31,1,Fleet_1GW!K$7)&gt;0,1,0),0)</f>
        <v>1</v>
      </c>
      <c r="AB39" s="89" t="n">
        <f aca="false">IF(ISNUMBER(INDEX(Interface_Prod!$S$31:$AG$31,1,Fleet_1GW!L$7)),IF(INDEX(Interface_Prod!$S$31:$AG$31,1,Fleet_1GW!L$7)&gt;0,1,0),0)</f>
        <v>1</v>
      </c>
      <c r="AC39" s="89" t="n">
        <f aca="false">IF(ISNUMBER(INDEX(Interface_Prod!$S$31:$AG$31,1,Fleet_1GW!M$7)),IF(INDEX(Interface_Prod!$S$31:$AG$31,1,Fleet_1GW!M$7)&gt;0,1,0),0)</f>
        <v>1</v>
      </c>
      <c r="AD39" s="89" t="n">
        <f aca="false">IF(ISNUMBER(INDEX(Interface_Prod!$S$31:$AG$31,1,Fleet_1GW!N$7)),IF(INDEX(Interface_Prod!$S$31:$AG$31,1,Fleet_1GW!N$7)&gt;0,1,0),0)</f>
        <v>1</v>
      </c>
      <c r="AE39" s="89" t="n">
        <f aca="false">IF(ISNUMBER(INDEX(Interface_Prod!$S$31:$AG$31,1,Fleet_1GW!O$7)),IF(INDEX(Interface_Prod!$S$31:$AG$31,1,Fleet_1GW!O$7)&gt;0,1,0),0)</f>
        <v>1</v>
      </c>
      <c r="AF39" s="89" t="n">
        <f aca="false">IF(ISNUMBER(INDEX(Interface_Prod!$S$31:$AG$31,1,Fleet_1GW!P$7)),IF(INDEX(Interface_Prod!$S$31:$AG$31,1,Fleet_1GW!P$7)&gt;0,1,0),0)</f>
        <v>1</v>
      </c>
      <c r="AG39" s="89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1" t="s">
        <v>1770</v>
      </c>
      <c r="B40" s="73" t="s">
        <v>1750</v>
      </c>
      <c r="C40" s="89" t="n">
        <f aca="false">IF(ISNUMBER(INDEX(Interface_Prod!$C$41:$Q$41,1,Fleet_1GW!C$7)),IF(INDEX(Interface_Prod!$C$41:$Q$41,1,Fleet_1GW!C$7)&gt;0,1,0),0)</f>
        <v>0</v>
      </c>
      <c r="D40" s="89" t="n">
        <f aca="false">IF(ISNUMBER(INDEX(Interface_Prod!$C$41:$Q$41,1,Fleet_1GW!D$7)),IF(INDEX(Interface_Prod!$C$41:$Q$41,1,Fleet_1GW!D$7)&gt;0,1,0),0)</f>
        <v>0</v>
      </c>
      <c r="E40" s="89" t="n">
        <f aca="false">IF(ISNUMBER(INDEX(Interface_Prod!$C$41:$Q$41,1,Fleet_1GW!E$7)),IF(INDEX(Interface_Prod!$C$41:$Q$41,1,Fleet_1GW!E$7)&gt;0,1,0),0)</f>
        <v>0</v>
      </c>
      <c r="F40" s="89" t="n">
        <f aca="false">IF(ISNUMBER(INDEX(Interface_Prod!$C$41:$Q$41,1,Fleet_1GW!F$7)),IF(INDEX(Interface_Prod!$C$41:$Q$41,1,Fleet_1GW!F$7)&gt;0,1,0),0)</f>
        <v>1</v>
      </c>
      <c r="G40" s="89" t="n">
        <f aca="false">IF(ISNUMBER(INDEX(Interface_Prod!$C$41:$Q$41,1,Fleet_1GW!G$7)),IF(INDEX(Interface_Prod!$C$41:$Q$41,1,Fleet_1GW!G$7)&gt;0,1,0),0)</f>
        <v>1</v>
      </c>
      <c r="H40" s="89" t="n">
        <f aca="false">IF(ISNUMBER(INDEX(Interface_Prod!$C$41:$Q$41,1,Fleet_1GW!H$7)),IF(INDEX(Interface_Prod!$C$41:$Q$41,1,Fleet_1GW!H$7)&gt;0,1,0),0)</f>
        <v>1</v>
      </c>
      <c r="I40" s="89" t="n">
        <f aca="false">IF(ISNUMBER(INDEX(Interface_Prod!$C$41:$Q$41,1,Fleet_1GW!I$7)),IF(INDEX(Interface_Prod!$C$41:$Q$41,1,Fleet_1GW!I$7)&gt;0,1,0),0)</f>
        <v>1</v>
      </c>
      <c r="J40" s="89" t="n">
        <f aca="false">IF(ISNUMBER(INDEX(Interface_Prod!$C$41:$Q$41,1,Fleet_1GW!J$7)),IF(INDEX(Interface_Prod!$C$41:$Q$41,1,Fleet_1GW!J$7)&gt;0,1,0),0)</f>
        <v>1</v>
      </c>
      <c r="K40" s="89" t="n">
        <f aca="false">IF(ISNUMBER(INDEX(Interface_Prod!$C$41:$Q$41,1,Fleet_1GW!K$7)),IF(INDEX(Interface_Prod!$C$41:$Q$41,1,Fleet_1GW!K$7)&gt;0,1,0),0)</f>
        <v>1</v>
      </c>
      <c r="L40" s="89" t="n">
        <f aca="false">IF(ISNUMBER(INDEX(Interface_Prod!$C$41:$Q$41,1,Fleet_1GW!L$7)),IF(INDEX(Interface_Prod!$C$41:$Q$41,1,Fleet_1GW!L$7)&gt;0,1,0),0)</f>
        <v>1</v>
      </c>
      <c r="M40" s="89" t="n">
        <f aca="false">IF(ISNUMBER(INDEX(Interface_Prod!$C$41:$Q$41,1,Fleet_1GW!M$7)),IF(INDEX(Interface_Prod!$C$41:$Q$41,1,Fleet_1GW!M$7)&gt;0,1,0),0)</f>
        <v>1</v>
      </c>
      <c r="N40" s="89" t="n">
        <f aca="false">IF(ISNUMBER(INDEX(Interface_Prod!$C$41:$Q$41,1,Fleet_1GW!N$7)),IF(INDEX(Interface_Prod!$C$41:$Q$41,1,Fleet_1GW!N$7)&gt;0,1,0),0)</f>
        <v>1</v>
      </c>
      <c r="O40" s="89" t="n">
        <f aca="false">IF(ISNUMBER(INDEX(Interface_Prod!$C$41:$Q$41,1,Fleet_1GW!O$7)),IF(INDEX(Interface_Prod!$C$41:$Q$41,1,Fleet_1GW!O$7)&gt;0,1,0),0)</f>
        <v>1</v>
      </c>
      <c r="P40" s="89" t="n">
        <f aca="false">IF(ISNUMBER(INDEX(Interface_Prod!$C$41:$Q$41,1,Fleet_1GW!P$7)),IF(INDEX(Interface_Prod!$C$41:$Q$41,1,Fleet_1GW!P$7)&gt;0,1,0),0)</f>
        <v>1</v>
      </c>
      <c r="Q40" s="89" t="n">
        <f aca="false">IF(ISNUMBER(INDEX(Interface_Prod!$C$41:$Q$41,1,Fleet_1GW!Q$7)),IF(INDEX(Interface_Prod!$C$41:$Q$41,1,Fleet_1GW!Q$7)&gt;0,1,0),0)</f>
        <v>1</v>
      </c>
      <c r="S40" s="89" t="n">
        <f aca="false">IF(ISNUMBER(INDEX(Interface_Prod!$S$41:$AG$41,1,Fleet_1GW!C$7)),IF(INDEX(Interface_Prod!$S$41:$AG$41,1,Fleet_1GW!C$7)&gt;0,1,0),0)</f>
        <v>0</v>
      </c>
      <c r="T40" s="89" t="n">
        <f aca="false">IF(ISNUMBER(INDEX(Interface_Prod!$S$41:$AG$41,1,Fleet_1GW!D$7)),IF(INDEX(Interface_Prod!$S$41:$AG$41,1,Fleet_1GW!D$7)&gt;0,1,0),0)</f>
        <v>0</v>
      </c>
      <c r="U40" s="89" t="n">
        <f aca="false">IF(ISNUMBER(INDEX(Interface_Prod!$S$41:$AG$41,1,Fleet_1GW!E$7)),IF(INDEX(Interface_Prod!$S$41:$AG$41,1,Fleet_1GW!E$7)&gt;0,1,0),0)</f>
        <v>0</v>
      </c>
      <c r="V40" s="89" t="n">
        <f aca="false">IF(ISNUMBER(INDEX(Interface_Prod!$S$41:$AG$41,1,Fleet_1GW!F$7)),IF(INDEX(Interface_Prod!$S$41:$AG$41,1,Fleet_1GW!F$7)&gt;0,1,0),0)</f>
        <v>1</v>
      </c>
      <c r="W40" s="89" t="n">
        <f aca="false">IF(ISNUMBER(INDEX(Interface_Prod!$S$41:$AG$41,1,Fleet_1GW!G$7)),IF(INDEX(Interface_Prod!$S$41:$AG$41,1,Fleet_1GW!G$7)&gt;0,1,0),0)</f>
        <v>1</v>
      </c>
      <c r="X40" s="89" t="n">
        <f aca="false">IF(ISNUMBER(INDEX(Interface_Prod!$S$41:$AG$41,1,Fleet_1GW!H$7)),IF(INDEX(Interface_Prod!$S$41:$AG$41,1,Fleet_1GW!H$7)&gt;0,1,0),0)</f>
        <v>1</v>
      </c>
      <c r="Y40" s="89" t="n">
        <f aca="false">IF(ISNUMBER(INDEX(Interface_Prod!$S$41:$AG$41,1,Fleet_1GW!I$7)),IF(INDEX(Interface_Prod!$S$41:$AG$41,1,Fleet_1GW!I$7)&gt;0,1,0),0)</f>
        <v>1</v>
      </c>
      <c r="Z40" s="89" t="n">
        <f aca="false">IF(ISNUMBER(INDEX(Interface_Prod!$S$41:$AG$41,1,Fleet_1GW!J$7)),IF(INDEX(Interface_Prod!$S$41:$AG$41,1,Fleet_1GW!J$7)&gt;0,1,0),0)</f>
        <v>1</v>
      </c>
      <c r="AA40" s="89" t="n">
        <f aca="false">IF(ISNUMBER(INDEX(Interface_Prod!$S$41:$AG$41,1,Fleet_1GW!K$7)),IF(INDEX(Interface_Prod!$S$41:$AG$41,1,Fleet_1GW!K$7)&gt;0,1,0),0)</f>
        <v>1</v>
      </c>
      <c r="AB40" s="89" t="n">
        <f aca="false">IF(ISNUMBER(INDEX(Interface_Prod!$S$41:$AG$41,1,Fleet_1GW!L$7)),IF(INDEX(Interface_Prod!$S$41:$AG$41,1,Fleet_1GW!L$7)&gt;0,1,0),0)</f>
        <v>1</v>
      </c>
      <c r="AC40" s="89" t="n">
        <f aca="false">IF(ISNUMBER(INDEX(Interface_Prod!$S$41:$AG$41,1,Fleet_1GW!M$7)),IF(INDEX(Interface_Prod!$S$41:$AG$41,1,Fleet_1GW!M$7)&gt;0,1,0),0)</f>
        <v>1</v>
      </c>
      <c r="AD40" s="89" t="n">
        <f aca="false">IF(ISNUMBER(INDEX(Interface_Prod!$S$41:$AG$41,1,Fleet_1GW!N$7)),IF(INDEX(Interface_Prod!$S$41:$AG$41,1,Fleet_1GW!N$7)&gt;0,1,0),0)</f>
        <v>1</v>
      </c>
      <c r="AE40" s="89" t="n">
        <f aca="false">IF(ISNUMBER(INDEX(Interface_Prod!$S$41:$AG$41,1,Fleet_1GW!O$7)),IF(INDEX(Interface_Prod!$S$41:$AG$41,1,Fleet_1GW!O$7)&gt;0,1,0),0)</f>
        <v>1</v>
      </c>
      <c r="AF40" s="89" t="n">
        <f aca="false">IF(ISNUMBER(INDEX(Interface_Prod!$S$41:$AG$41,1,Fleet_1GW!P$7)),IF(INDEX(Interface_Prod!$S$41:$AG$41,1,Fleet_1GW!P$7)&gt;0,1,0),0)</f>
        <v>1</v>
      </c>
      <c r="AG40" s="89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0" t="s">
        <v>1771</v>
      </c>
      <c r="B41" s="58" t="s">
        <v>99</v>
      </c>
      <c r="C41" s="109" t="n">
        <f aca="false">INDEX(B4_MixPaid,1,1)*Fleet_1GW_Prod!C38+INDEX(B4_MixPaid,1,2)*Fleet_1GW_Prod!C39+INDEX(B4_MixPaid,1,3)*Fleet_1GW_Prod!C40</f>
        <v>0.85</v>
      </c>
      <c r="D41" s="109" t="n">
        <f aca="false">INDEX(B4_MixPaid,1,1)*Fleet_1GW_Prod!D38+INDEX(B4_MixPaid,1,2)*Fleet_1GW_Prod!D39+INDEX(B4_MixPaid,1,3)*Fleet_1GW_Prod!D40</f>
        <v>0.85</v>
      </c>
      <c r="E41" s="109" t="n">
        <f aca="false">INDEX(B4_MixPaid,1,1)*Fleet_1GW_Prod!E38+INDEX(B4_MixPaid,1,2)*Fleet_1GW_Prod!E39+INDEX(B4_MixPaid,1,3)*Fleet_1GW_Prod!E40</f>
        <v>0.85</v>
      </c>
      <c r="F41" s="109" t="n">
        <f aca="false">INDEX(B4_MixPaid,1,1)*Fleet_1GW_Prod!F38+INDEX(B4_MixPaid,1,2)*Fleet_1GW_Prod!F39+INDEX(B4_MixPaid,1,3)*Fleet_1GW_Prod!F40</f>
        <v>1</v>
      </c>
      <c r="G41" s="109" t="n">
        <f aca="false">INDEX(B4_MixPaid,1,1)*Fleet_1GW_Prod!G38+INDEX(B4_MixPaid,1,2)*Fleet_1GW_Prod!G39+INDEX(B4_MixPaid,1,3)*Fleet_1GW_Prod!G40</f>
        <v>1</v>
      </c>
      <c r="H41" s="109" t="n">
        <f aca="false">INDEX(B4_MixPaid,1,1)*Fleet_1GW_Prod!H38+INDEX(B4_MixPaid,1,2)*Fleet_1GW_Prod!H39+INDEX(B4_MixPaid,1,3)*Fleet_1GW_Prod!H40</f>
        <v>1</v>
      </c>
      <c r="I41" s="109" t="n">
        <f aca="false">INDEX(B4_MixPaid,1,1)*Fleet_1GW_Prod!I38+INDEX(B4_MixPaid,1,2)*Fleet_1GW_Prod!I39+INDEX(B4_MixPaid,1,3)*Fleet_1GW_Prod!I40</f>
        <v>1</v>
      </c>
      <c r="J41" s="109" t="n">
        <f aca="false">INDEX(B4_MixPaid,1,1)*Fleet_1GW_Prod!J38+INDEX(B4_MixPaid,1,2)*Fleet_1GW_Prod!J39+INDEX(B4_MixPaid,1,3)*Fleet_1GW_Prod!J40</f>
        <v>1</v>
      </c>
      <c r="K41" s="109" t="n">
        <f aca="false">INDEX(B4_MixPaid,1,1)*Fleet_1GW_Prod!K38+INDEX(B4_MixPaid,1,2)*Fleet_1GW_Prod!K39+INDEX(B4_MixPaid,1,3)*Fleet_1GW_Prod!K40</f>
        <v>1</v>
      </c>
      <c r="L41" s="109" t="n">
        <f aca="false">INDEX(B4_MixPaid,1,1)*Fleet_1GW_Prod!L38+INDEX(B4_MixPaid,1,2)*Fleet_1GW_Prod!L39+INDEX(B4_MixPaid,1,3)*Fleet_1GW_Prod!L40</f>
        <v>1</v>
      </c>
      <c r="M41" s="109" t="n">
        <f aca="false">INDEX(B4_MixPaid,1,1)*Fleet_1GW_Prod!M38+INDEX(B4_MixPaid,1,2)*Fleet_1GW_Prod!M39+INDEX(B4_MixPaid,1,3)*Fleet_1GW_Prod!M40</f>
        <v>1</v>
      </c>
      <c r="N41" s="109" t="n">
        <f aca="false">INDEX(B4_MixPaid,1,1)*Fleet_1GW_Prod!N38+INDEX(B4_MixPaid,1,2)*Fleet_1GW_Prod!N39+INDEX(B4_MixPaid,1,3)*Fleet_1GW_Prod!N40</f>
        <v>1</v>
      </c>
      <c r="O41" s="109" t="n">
        <f aca="false">INDEX(B4_MixPaid,1,1)*Fleet_1GW_Prod!O38+INDEX(B4_MixPaid,1,2)*Fleet_1GW_Prod!O39+INDEX(B4_MixPaid,1,3)*Fleet_1GW_Prod!O40</f>
        <v>1</v>
      </c>
      <c r="P41" s="109" t="n">
        <f aca="false">INDEX(B4_MixPaid,1,1)*Fleet_1GW_Prod!P38+INDEX(B4_MixPaid,1,2)*Fleet_1GW_Prod!P39+INDEX(B4_MixPaid,1,3)*Fleet_1GW_Prod!P40</f>
        <v>1</v>
      </c>
      <c r="Q41" s="109" t="n">
        <f aca="false">INDEX(B4_MixPaid,1,1)*Fleet_1GW_Prod!Q38+INDEX(B4_MixPaid,1,2)*Fleet_1GW_Prod!Q39+INDEX(B4_MixPaid,1,3)*Fleet_1GW_Prod!Q40</f>
        <v>1</v>
      </c>
      <c r="S41" s="109" t="n">
        <f aca="false">INDEX(B4_MixPaid,1,1)*Fleet_1GW_Prod!S38+INDEX(B4_MixPaid,1,2)*Fleet_1GW_Prod!S39+INDEX(B4_MixPaid,1,3)*Fleet_1GW_Prod!S40</f>
        <v>0.85</v>
      </c>
      <c r="T41" s="109" t="n">
        <f aca="false">INDEX(B4_MixPaid,1,1)*Fleet_1GW_Prod!T38+INDEX(B4_MixPaid,1,2)*Fleet_1GW_Prod!T39+INDEX(B4_MixPaid,1,3)*Fleet_1GW_Prod!T40</f>
        <v>0.85</v>
      </c>
      <c r="U41" s="109" t="n">
        <f aca="false">INDEX(B4_MixPaid,1,1)*Fleet_1GW_Prod!U38+INDEX(B4_MixPaid,1,2)*Fleet_1GW_Prod!U39+INDEX(B4_MixPaid,1,3)*Fleet_1GW_Prod!U40</f>
        <v>0.85</v>
      </c>
      <c r="V41" s="109" t="n">
        <f aca="false">INDEX(B4_MixPaid,1,1)*Fleet_1GW_Prod!V38+INDEX(B4_MixPaid,1,2)*Fleet_1GW_Prod!V39+INDEX(B4_MixPaid,1,3)*Fleet_1GW_Prod!V40</f>
        <v>1</v>
      </c>
      <c r="W41" s="109" t="n">
        <f aca="false">INDEX(B4_MixPaid,1,1)*Fleet_1GW_Prod!W38+INDEX(B4_MixPaid,1,2)*Fleet_1GW_Prod!W39+INDEX(B4_MixPaid,1,3)*Fleet_1GW_Prod!W40</f>
        <v>1</v>
      </c>
      <c r="X41" s="109" t="n">
        <f aca="false">INDEX(B4_MixPaid,1,1)*Fleet_1GW_Prod!X38+INDEX(B4_MixPaid,1,2)*Fleet_1GW_Prod!X39+INDEX(B4_MixPaid,1,3)*Fleet_1GW_Prod!X40</f>
        <v>1</v>
      </c>
      <c r="Y41" s="109" t="n">
        <f aca="false">INDEX(B4_MixPaid,1,1)*Fleet_1GW_Prod!Y38+INDEX(B4_MixPaid,1,2)*Fleet_1GW_Prod!Y39+INDEX(B4_MixPaid,1,3)*Fleet_1GW_Prod!Y40</f>
        <v>1</v>
      </c>
      <c r="Z41" s="109" t="n">
        <f aca="false">INDEX(B4_MixPaid,1,1)*Fleet_1GW_Prod!Z38+INDEX(B4_MixPaid,1,2)*Fleet_1GW_Prod!Z39+INDEX(B4_MixPaid,1,3)*Fleet_1GW_Prod!Z40</f>
        <v>1</v>
      </c>
      <c r="AA41" s="109" t="n">
        <f aca="false">INDEX(B4_MixPaid,1,1)*Fleet_1GW_Prod!AA38+INDEX(B4_MixPaid,1,2)*Fleet_1GW_Prod!AA39+INDEX(B4_MixPaid,1,3)*Fleet_1GW_Prod!AA40</f>
        <v>1</v>
      </c>
      <c r="AB41" s="109" t="n">
        <f aca="false">INDEX(B4_MixPaid,1,1)*Fleet_1GW_Prod!AB38+INDEX(B4_MixPaid,1,2)*Fleet_1GW_Prod!AB39+INDEX(B4_MixPaid,1,3)*Fleet_1GW_Prod!AB40</f>
        <v>1</v>
      </c>
      <c r="AC41" s="109" t="n">
        <f aca="false">INDEX(B4_MixPaid,1,1)*Fleet_1GW_Prod!AC38+INDEX(B4_MixPaid,1,2)*Fleet_1GW_Prod!AC39+INDEX(B4_MixPaid,1,3)*Fleet_1GW_Prod!AC40</f>
        <v>1</v>
      </c>
      <c r="AD41" s="109" t="n">
        <f aca="false">INDEX(B4_MixPaid,1,1)*Fleet_1GW_Prod!AD38+INDEX(B4_MixPaid,1,2)*Fleet_1GW_Prod!AD39+INDEX(B4_MixPaid,1,3)*Fleet_1GW_Prod!AD40</f>
        <v>1</v>
      </c>
      <c r="AE41" s="109" t="n">
        <f aca="false">INDEX(B4_MixPaid,1,1)*Fleet_1GW_Prod!AE38+INDEX(B4_MixPaid,1,2)*Fleet_1GW_Prod!AE39+INDEX(B4_MixPaid,1,3)*Fleet_1GW_Prod!AE40</f>
        <v>1</v>
      </c>
      <c r="AF41" s="109" t="n">
        <f aca="false">INDEX(B4_MixPaid,1,1)*Fleet_1GW_Prod!AF38+INDEX(B4_MixPaid,1,2)*Fleet_1GW_Prod!AF39+INDEX(B4_MixPaid,1,3)*Fleet_1GW_Prod!AF40</f>
        <v>1</v>
      </c>
      <c r="AG41" s="109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0" t="s">
        <v>1772</v>
      </c>
      <c r="B42" s="58" t="s">
        <v>99</v>
      </c>
      <c r="C42" s="109" t="n">
        <f aca="false">INDEX(B4_MixFree,1,1)*Fleet_1GW_Prod!C38+INDEX(B4_MixFree,1,2)*Fleet_1GW_Prod!C39+INDEX(B4_MixFree,1,3)*Fleet_1GW_Prod!C40</f>
        <v>1</v>
      </c>
      <c r="D42" s="109" t="n">
        <f aca="false">INDEX(B4_MixFree,1,1)*Fleet_1GW_Prod!D38+INDEX(B4_MixFree,1,2)*Fleet_1GW_Prod!D39+INDEX(B4_MixFree,1,3)*Fleet_1GW_Prod!D40</f>
        <v>1</v>
      </c>
      <c r="E42" s="109" t="n">
        <f aca="false">INDEX(B4_MixFree,1,1)*Fleet_1GW_Prod!E38+INDEX(B4_MixFree,1,2)*Fleet_1GW_Prod!E39+INDEX(B4_MixFree,1,3)*Fleet_1GW_Prod!E40</f>
        <v>1</v>
      </c>
      <c r="F42" s="109" t="n">
        <f aca="false">INDEX(B4_MixFree,1,1)*Fleet_1GW_Prod!F38+INDEX(B4_MixFree,1,2)*Fleet_1GW_Prod!F39+INDEX(B4_MixFree,1,3)*Fleet_1GW_Prod!F40</f>
        <v>1</v>
      </c>
      <c r="G42" s="109" t="n">
        <f aca="false">INDEX(B4_MixFree,1,1)*Fleet_1GW_Prod!G38+INDEX(B4_MixFree,1,2)*Fleet_1GW_Prod!G39+INDEX(B4_MixFree,1,3)*Fleet_1GW_Prod!G40</f>
        <v>1</v>
      </c>
      <c r="H42" s="109" t="n">
        <f aca="false">INDEX(B4_MixFree,1,1)*Fleet_1GW_Prod!H38+INDEX(B4_MixFree,1,2)*Fleet_1GW_Prod!H39+INDEX(B4_MixFree,1,3)*Fleet_1GW_Prod!H40</f>
        <v>1</v>
      </c>
      <c r="I42" s="109" t="n">
        <f aca="false">INDEX(B4_MixFree,1,1)*Fleet_1GW_Prod!I38+INDEX(B4_MixFree,1,2)*Fleet_1GW_Prod!I39+INDEX(B4_MixFree,1,3)*Fleet_1GW_Prod!I40</f>
        <v>1</v>
      </c>
      <c r="J42" s="109" t="n">
        <f aca="false">INDEX(B4_MixFree,1,1)*Fleet_1GW_Prod!J38+INDEX(B4_MixFree,1,2)*Fleet_1GW_Prod!J39+INDEX(B4_MixFree,1,3)*Fleet_1GW_Prod!J40</f>
        <v>1</v>
      </c>
      <c r="K42" s="109" t="n">
        <f aca="false">INDEX(B4_MixFree,1,1)*Fleet_1GW_Prod!K38+INDEX(B4_MixFree,1,2)*Fleet_1GW_Prod!K39+INDEX(B4_MixFree,1,3)*Fleet_1GW_Prod!K40</f>
        <v>1</v>
      </c>
      <c r="L42" s="109" t="n">
        <f aca="false">INDEX(B4_MixFree,1,1)*Fleet_1GW_Prod!L38+INDEX(B4_MixFree,1,2)*Fleet_1GW_Prod!L39+INDEX(B4_MixFree,1,3)*Fleet_1GW_Prod!L40</f>
        <v>1</v>
      </c>
      <c r="M42" s="109" t="n">
        <f aca="false">INDEX(B4_MixFree,1,1)*Fleet_1GW_Prod!M38+INDEX(B4_MixFree,1,2)*Fleet_1GW_Prod!M39+INDEX(B4_MixFree,1,3)*Fleet_1GW_Prod!M40</f>
        <v>1</v>
      </c>
      <c r="N42" s="109" t="n">
        <f aca="false">INDEX(B4_MixFree,1,1)*Fleet_1GW_Prod!N38+INDEX(B4_MixFree,1,2)*Fleet_1GW_Prod!N39+INDEX(B4_MixFree,1,3)*Fleet_1GW_Prod!N40</f>
        <v>1</v>
      </c>
      <c r="O42" s="109" t="n">
        <f aca="false">INDEX(B4_MixFree,1,1)*Fleet_1GW_Prod!O38+INDEX(B4_MixFree,1,2)*Fleet_1GW_Prod!O39+INDEX(B4_MixFree,1,3)*Fleet_1GW_Prod!O40</f>
        <v>1</v>
      </c>
      <c r="P42" s="109" t="n">
        <f aca="false">INDEX(B4_MixFree,1,1)*Fleet_1GW_Prod!P38+INDEX(B4_MixFree,1,2)*Fleet_1GW_Prod!P39+INDEX(B4_MixFree,1,3)*Fleet_1GW_Prod!P40</f>
        <v>1</v>
      </c>
      <c r="Q42" s="109" t="n">
        <f aca="false">INDEX(B4_MixFree,1,1)*Fleet_1GW_Prod!Q38+INDEX(B4_MixFree,1,2)*Fleet_1GW_Prod!Q39+INDEX(B4_MixFree,1,3)*Fleet_1GW_Prod!Q40</f>
        <v>1</v>
      </c>
      <c r="S42" s="109" t="n">
        <f aca="false">INDEX(B4_MixFree,1,1)*Fleet_1GW_Prod!S38+INDEX(B4_MixFree,1,2)*Fleet_1GW_Prod!S39+INDEX(B4_MixFree,1,3)*Fleet_1GW_Prod!S40</f>
        <v>1</v>
      </c>
      <c r="T42" s="109" t="n">
        <f aca="false">INDEX(B4_MixFree,1,1)*Fleet_1GW_Prod!T38+INDEX(B4_MixFree,1,2)*Fleet_1GW_Prod!T39+INDEX(B4_MixFree,1,3)*Fleet_1GW_Prod!T40</f>
        <v>1</v>
      </c>
      <c r="U42" s="109" t="n">
        <f aca="false">INDEX(B4_MixFree,1,1)*Fleet_1GW_Prod!U38+INDEX(B4_MixFree,1,2)*Fleet_1GW_Prod!U39+INDEX(B4_MixFree,1,3)*Fleet_1GW_Prod!U40</f>
        <v>1</v>
      </c>
      <c r="V42" s="109" t="n">
        <f aca="false">INDEX(B4_MixFree,1,1)*Fleet_1GW_Prod!V38+INDEX(B4_MixFree,1,2)*Fleet_1GW_Prod!V39+INDEX(B4_MixFree,1,3)*Fleet_1GW_Prod!V40</f>
        <v>1</v>
      </c>
      <c r="W42" s="109" t="n">
        <f aca="false">INDEX(B4_MixFree,1,1)*Fleet_1GW_Prod!W38+INDEX(B4_MixFree,1,2)*Fleet_1GW_Prod!W39+INDEX(B4_MixFree,1,3)*Fleet_1GW_Prod!W40</f>
        <v>1</v>
      </c>
      <c r="X42" s="109" t="n">
        <f aca="false">INDEX(B4_MixFree,1,1)*Fleet_1GW_Prod!X38+INDEX(B4_MixFree,1,2)*Fleet_1GW_Prod!X39+INDEX(B4_MixFree,1,3)*Fleet_1GW_Prod!X40</f>
        <v>1</v>
      </c>
      <c r="Y42" s="109" t="n">
        <f aca="false">INDEX(B4_MixFree,1,1)*Fleet_1GW_Prod!Y38+INDEX(B4_MixFree,1,2)*Fleet_1GW_Prod!Y39+INDEX(B4_MixFree,1,3)*Fleet_1GW_Prod!Y40</f>
        <v>1</v>
      </c>
      <c r="Z42" s="109" t="n">
        <f aca="false">INDEX(B4_MixFree,1,1)*Fleet_1GW_Prod!Z38+INDEX(B4_MixFree,1,2)*Fleet_1GW_Prod!Z39+INDEX(B4_MixFree,1,3)*Fleet_1GW_Prod!Z40</f>
        <v>1</v>
      </c>
      <c r="AA42" s="109" t="n">
        <f aca="false">INDEX(B4_MixFree,1,1)*Fleet_1GW_Prod!AA38+INDEX(B4_MixFree,1,2)*Fleet_1GW_Prod!AA39+INDEX(B4_MixFree,1,3)*Fleet_1GW_Prod!AA40</f>
        <v>1</v>
      </c>
      <c r="AB42" s="109" t="n">
        <f aca="false">INDEX(B4_MixFree,1,1)*Fleet_1GW_Prod!AB38+INDEX(B4_MixFree,1,2)*Fleet_1GW_Prod!AB39+INDEX(B4_MixFree,1,3)*Fleet_1GW_Prod!AB40</f>
        <v>1</v>
      </c>
      <c r="AC42" s="109" t="n">
        <f aca="false">INDEX(B4_MixFree,1,1)*Fleet_1GW_Prod!AC38+INDEX(B4_MixFree,1,2)*Fleet_1GW_Prod!AC39+INDEX(B4_MixFree,1,3)*Fleet_1GW_Prod!AC40</f>
        <v>1</v>
      </c>
      <c r="AD42" s="109" t="n">
        <f aca="false">INDEX(B4_MixFree,1,1)*Fleet_1GW_Prod!AD38+INDEX(B4_MixFree,1,2)*Fleet_1GW_Prod!AD39+INDEX(B4_MixFree,1,3)*Fleet_1GW_Prod!AD40</f>
        <v>1</v>
      </c>
      <c r="AE42" s="109" t="n">
        <f aca="false">INDEX(B4_MixFree,1,1)*Fleet_1GW_Prod!AE38+INDEX(B4_MixFree,1,2)*Fleet_1GW_Prod!AE39+INDEX(B4_MixFree,1,3)*Fleet_1GW_Prod!AE40</f>
        <v>1</v>
      </c>
      <c r="AF42" s="109" t="n">
        <f aca="false">INDEX(B4_MixFree,1,1)*Fleet_1GW_Prod!AF38+INDEX(B4_MixFree,1,2)*Fleet_1GW_Prod!AF39+INDEX(B4_MixFree,1,3)*Fleet_1GW_Prod!AF40</f>
        <v>1</v>
      </c>
      <c r="AG42" s="109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1" t="s">
        <v>1774</v>
      </c>
      <c r="B44" s="58" t="s">
        <v>99</v>
      </c>
      <c r="C44" s="109" t="n">
        <f aca="false">IF(Fleet_1GW_Prod!C41&gt;0,INDEX(B4_MixPaid,1,1)*Fleet_1GW_Prod!C38/Fleet_1GW_Prod!C41,0)</f>
        <v>0.470588235294118</v>
      </c>
      <c r="D44" s="109" t="n">
        <f aca="false">IF(Fleet_1GW_Prod!D41&gt;0,INDEX(B4_MixPaid,1,1)*Fleet_1GW_Prod!D38/Fleet_1GW_Prod!D41,0)</f>
        <v>0.470588235294118</v>
      </c>
      <c r="E44" s="109" t="n">
        <f aca="false">IF(Fleet_1GW_Prod!E41&gt;0,INDEX(B4_MixPaid,1,1)*Fleet_1GW_Prod!E38/Fleet_1GW_Prod!E41,0)</f>
        <v>0.470588235294118</v>
      </c>
      <c r="F44" s="109" t="n">
        <f aca="false">IF(Fleet_1GW_Prod!F41&gt;0,INDEX(B4_MixPaid,1,1)*Fleet_1GW_Prod!F38/Fleet_1GW_Prod!F41,0)</f>
        <v>0.4</v>
      </c>
      <c r="G44" s="109" t="n">
        <f aca="false">IF(Fleet_1GW_Prod!G41&gt;0,INDEX(B4_MixPaid,1,1)*Fleet_1GW_Prod!G38/Fleet_1GW_Prod!G41,0)</f>
        <v>0.4</v>
      </c>
      <c r="H44" s="109" t="n">
        <f aca="false">IF(Fleet_1GW_Prod!H41&gt;0,INDEX(B4_MixPaid,1,1)*Fleet_1GW_Prod!H38/Fleet_1GW_Prod!H41,0)</f>
        <v>0.4</v>
      </c>
      <c r="I44" s="109" t="n">
        <f aca="false">IF(Fleet_1GW_Prod!I41&gt;0,INDEX(B4_MixPaid,1,1)*Fleet_1GW_Prod!I38/Fleet_1GW_Prod!I41,0)</f>
        <v>0.4</v>
      </c>
      <c r="J44" s="109" t="n">
        <f aca="false">IF(Fleet_1GW_Prod!J41&gt;0,INDEX(B4_MixPaid,1,1)*Fleet_1GW_Prod!J38/Fleet_1GW_Prod!J41,0)</f>
        <v>0.4</v>
      </c>
      <c r="K44" s="109" t="n">
        <f aca="false">IF(Fleet_1GW_Prod!K41&gt;0,INDEX(B4_MixPaid,1,1)*Fleet_1GW_Prod!K38/Fleet_1GW_Prod!K41,0)</f>
        <v>0.4</v>
      </c>
      <c r="L44" s="109" t="n">
        <f aca="false">IF(Fleet_1GW_Prod!L41&gt;0,INDEX(B4_MixPaid,1,1)*Fleet_1GW_Prod!L38/Fleet_1GW_Prod!L41,0)</f>
        <v>0.4</v>
      </c>
      <c r="M44" s="109" t="n">
        <f aca="false">IF(Fleet_1GW_Prod!M41&gt;0,INDEX(B4_MixPaid,1,1)*Fleet_1GW_Prod!M38/Fleet_1GW_Prod!M41,0)</f>
        <v>0.4</v>
      </c>
      <c r="N44" s="109" t="n">
        <f aca="false">IF(Fleet_1GW_Prod!N41&gt;0,INDEX(B4_MixPaid,1,1)*Fleet_1GW_Prod!N38/Fleet_1GW_Prod!N41,0)</f>
        <v>0.4</v>
      </c>
      <c r="O44" s="109" t="n">
        <f aca="false">IF(Fleet_1GW_Prod!O41&gt;0,INDEX(B4_MixPaid,1,1)*Fleet_1GW_Prod!O38/Fleet_1GW_Prod!O41,0)</f>
        <v>0.4</v>
      </c>
      <c r="P44" s="109" t="n">
        <f aca="false">IF(Fleet_1GW_Prod!P41&gt;0,INDEX(B4_MixPaid,1,1)*Fleet_1GW_Prod!P38/Fleet_1GW_Prod!P41,0)</f>
        <v>0.4</v>
      </c>
      <c r="Q44" s="109" t="n">
        <f aca="false">IF(Fleet_1GW_Prod!Q41&gt;0,INDEX(B4_MixPaid,1,1)*Fleet_1GW_Prod!Q38/Fleet_1GW_Prod!Q41,0)</f>
        <v>0.4</v>
      </c>
      <c r="S44" s="109" t="n">
        <f aca="false">IF(Fleet_1GW_Prod!S41&gt;0,INDEX(B4_MixPaid,1,1)*Fleet_1GW_Prod!S38/Fleet_1GW_Prod!S41,0)</f>
        <v>0.470588235294118</v>
      </c>
      <c r="T44" s="109" t="n">
        <f aca="false">IF(Fleet_1GW_Prod!T41&gt;0,INDEX(B4_MixPaid,1,1)*Fleet_1GW_Prod!T38/Fleet_1GW_Prod!T41,0)</f>
        <v>0.470588235294118</v>
      </c>
      <c r="U44" s="109" t="n">
        <f aca="false">IF(Fleet_1GW_Prod!U41&gt;0,INDEX(B4_MixPaid,1,1)*Fleet_1GW_Prod!U38/Fleet_1GW_Prod!U41,0)</f>
        <v>0.470588235294118</v>
      </c>
      <c r="V44" s="109" t="n">
        <f aca="false">IF(Fleet_1GW_Prod!V41&gt;0,INDEX(B4_MixPaid,1,1)*Fleet_1GW_Prod!V38/Fleet_1GW_Prod!V41,0)</f>
        <v>0.4</v>
      </c>
      <c r="W44" s="109" t="n">
        <f aca="false">IF(Fleet_1GW_Prod!W41&gt;0,INDEX(B4_MixPaid,1,1)*Fleet_1GW_Prod!W38/Fleet_1GW_Prod!W41,0)</f>
        <v>0.4</v>
      </c>
      <c r="X44" s="109" t="n">
        <f aca="false">IF(Fleet_1GW_Prod!X41&gt;0,INDEX(B4_MixPaid,1,1)*Fleet_1GW_Prod!X38/Fleet_1GW_Prod!X41,0)</f>
        <v>0.4</v>
      </c>
      <c r="Y44" s="109" t="n">
        <f aca="false">IF(Fleet_1GW_Prod!Y41&gt;0,INDEX(B4_MixPaid,1,1)*Fleet_1GW_Prod!Y38/Fleet_1GW_Prod!Y41,0)</f>
        <v>0.4</v>
      </c>
      <c r="Z44" s="109" t="n">
        <f aca="false">IF(Fleet_1GW_Prod!Z41&gt;0,INDEX(B4_MixPaid,1,1)*Fleet_1GW_Prod!Z38/Fleet_1GW_Prod!Z41,0)</f>
        <v>0.4</v>
      </c>
      <c r="AA44" s="109" t="n">
        <f aca="false">IF(Fleet_1GW_Prod!AA41&gt;0,INDEX(B4_MixPaid,1,1)*Fleet_1GW_Prod!AA38/Fleet_1GW_Prod!AA41,0)</f>
        <v>0.4</v>
      </c>
      <c r="AB44" s="109" t="n">
        <f aca="false">IF(Fleet_1GW_Prod!AB41&gt;0,INDEX(B4_MixPaid,1,1)*Fleet_1GW_Prod!AB38/Fleet_1GW_Prod!AB41,0)</f>
        <v>0.4</v>
      </c>
      <c r="AC44" s="109" t="n">
        <f aca="false">IF(Fleet_1GW_Prod!AC41&gt;0,INDEX(B4_MixPaid,1,1)*Fleet_1GW_Prod!AC38/Fleet_1GW_Prod!AC41,0)</f>
        <v>0.4</v>
      </c>
      <c r="AD44" s="109" t="n">
        <f aca="false">IF(Fleet_1GW_Prod!AD41&gt;0,INDEX(B4_MixPaid,1,1)*Fleet_1GW_Prod!AD38/Fleet_1GW_Prod!AD41,0)</f>
        <v>0.4</v>
      </c>
      <c r="AE44" s="109" t="n">
        <f aca="false">IF(Fleet_1GW_Prod!AE41&gt;0,INDEX(B4_MixPaid,1,1)*Fleet_1GW_Prod!AE38/Fleet_1GW_Prod!AE41,0)</f>
        <v>0.4</v>
      </c>
      <c r="AF44" s="109" t="n">
        <f aca="false">IF(Fleet_1GW_Prod!AF41&gt;0,INDEX(B4_MixPaid,1,1)*Fleet_1GW_Prod!AF38/Fleet_1GW_Prod!AF41,0)</f>
        <v>0.4</v>
      </c>
      <c r="AG44" s="109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1" t="s">
        <v>1775</v>
      </c>
      <c r="B45" s="58" t="s">
        <v>99</v>
      </c>
      <c r="C45" s="109" t="n">
        <f aca="false">IF(Fleet_1GW_Prod!C41&gt;0,INDEX(B4_MixPaid,1,2)*Fleet_1GW_Prod!C39/Fleet_1GW_Prod!C41,0)</f>
        <v>0.529411764705882</v>
      </c>
      <c r="D45" s="109" t="n">
        <f aca="false">IF(Fleet_1GW_Prod!D41&gt;0,INDEX(B4_MixPaid,1,2)*Fleet_1GW_Prod!D39/Fleet_1GW_Prod!D41,0)</f>
        <v>0.529411764705882</v>
      </c>
      <c r="E45" s="109" t="n">
        <f aca="false">IF(Fleet_1GW_Prod!E41&gt;0,INDEX(B4_MixPaid,1,2)*Fleet_1GW_Prod!E39/Fleet_1GW_Prod!E41,0)</f>
        <v>0.529411764705882</v>
      </c>
      <c r="F45" s="109" t="n">
        <f aca="false">IF(Fleet_1GW_Prod!F41&gt;0,INDEX(B4_MixPaid,1,2)*Fleet_1GW_Prod!F39/Fleet_1GW_Prod!F41,0)</f>
        <v>0.45</v>
      </c>
      <c r="G45" s="109" t="n">
        <f aca="false">IF(Fleet_1GW_Prod!G41&gt;0,INDEX(B4_MixPaid,1,2)*Fleet_1GW_Prod!G39/Fleet_1GW_Prod!G41,0)</f>
        <v>0.45</v>
      </c>
      <c r="H45" s="109" t="n">
        <f aca="false">IF(Fleet_1GW_Prod!H41&gt;0,INDEX(B4_MixPaid,1,2)*Fleet_1GW_Prod!H39/Fleet_1GW_Prod!H41,0)</f>
        <v>0.45</v>
      </c>
      <c r="I45" s="109" t="n">
        <f aca="false">IF(Fleet_1GW_Prod!I41&gt;0,INDEX(B4_MixPaid,1,2)*Fleet_1GW_Prod!I39/Fleet_1GW_Prod!I41,0)</f>
        <v>0.45</v>
      </c>
      <c r="J45" s="109" t="n">
        <f aca="false">IF(Fleet_1GW_Prod!J41&gt;0,INDEX(B4_MixPaid,1,2)*Fleet_1GW_Prod!J39/Fleet_1GW_Prod!J41,0)</f>
        <v>0.45</v>
      </c>
      <c r="K45" s="109" t="n">
        <f aca="false">IF(Fleet_1GW_Prod!K41&gt;0,INDEX(B4_MixPaid,1,2)*Fleet_1GW_Prod!K39/Fleet_1GW_Prod!K41,0)</f>
        <v>0.45</v>
      </c>
      <c r="L45" s="109" t="n">
        <f aca="false">IF(Fleet_1GW_Prod!L41&gt;0,INDEX(B4_MixPaid,1,2)*Fleet_1GW_Prod!L39/Fleet_1GW_Prod!L41,0)</f>
        <v>0.45</v>
      </c>
      <c r="M45" s="109" t="n">
        <f aca="false">IF(Fleet_1GW_Prod!M41&gt;0,INDEX(B4_MixPaid,1,2)*Fleet_1GW_Prod!M39/Fleet_1GW_Prod!M41,0)</f>
        <v>0.45</v>
      </c>
      <c r="N45" s="109" t="n">
        <f aca="false">IF(Fleet_1GW_Prod!N41&gt;0,INDEX(B4_MixPaid,1,2)*Fleet_1GW_Prod!N39/Fleet_1GW_Prod!N41,0)</f>
        <v>0.45</v>
      </c>
      <c r="O45" s="109" t="n">
        <f aca="false">IF(Fleet_1GW_Prod!O41&gt;0,INDEX(B4_MixPaid,1,2)*Fleet_1GW_Prod!O39/Fleet_1GW_Prod!O41,0)</f>
        <v>0.45</v>
      </c>
      <c r="P45" s="109" t="n">
        <f aca="false">IF(Fleet_1GW_Prod!P41&gt;0,INDEX(B4_MixPaid,1,2)*Fleet_1GW_Prod!P39/Fleet_1GW_Prod!P41,0)</f>
        <v>0.45</v>
      </c>
      <c r="Q45" s="109" t="n">
        <f aca="false">IF(Fleet_1GW_Prod!Q41&gt;0,INDEX(B4_MixPaid,1,2)*Fleet_1GW_Prod!Q39/Fleet_1GW_Prod!Q41,0)</f>
        <v>0.45</v>
      </c>
      <c r="S45" s="109" t="n">
        <f aca="false">IF(Fleet_1GW_Prod!S41&gt;0,INDEX(B4_MixPaid,1,2)*Fleet_1GW_Prod!S39/Fleet_1GW_Prod!S41,0)</f>
        <v>0.529411764705882</v>
      </c>
      <c r="T45" s="109" t="n">
        <f aca="false">IF(Fleet_1GW_Prod!T41&gt;0,INDEX(B4_MixPaid,1,2)*Fleet_1GW_Prod!T39/Fleet_1GW_Prod!T41,0)</f>
        <v>0.529411764705882</v>
      </c>
      <c r="U45" s="109" t="n">
        <f aca="false">IF(Fleet_1GW_Prod!U41&gt;0,INDEX(B4_MixPaid,1,2)*Fleet_1GW_Prod!U39/Fleet_1GW_Prod!U41,0)</f>
        <v>0.529411764705882</v>
      </c>
      <c r="V45" s="109" t="n">
        <f aca="false">IF(Fleet_1GW_Prod!V41&gt;0,INDEX(B4_MixPaid,1,2)*Fleet_1GW_Prod!V39/Fleet_1GW_Prod!V41,0)</f>
        <v>0.45</v>
      </c>
      <c r="W45" s="109" t="n">
        <f aca="false">IF(Fleet_1GW_Prod!W41&gt;0,INDEX(B4_MixPaid,1,2)*Fleet_1GW_Prod!W39/Fleet_1GW_Prod!W41,0)</f>
        <v>0.45</v>
      </c>
      <c r="X45" s="109" t="n">
        <f aca="false">IF(Fleet_1GW_Prod!X41&gt;0,INDEX(B4_MixPaid,1,2)*Fleet_1GW_Prod!X39/Fleet_1GW_Prod!X41,0)</f>
        <v>0.45</v>
      </c>
      <c r="Y45" s="109" t="n">
        <f aca="false">IF(Fleet_1GW_Prod!Y41&gt;0,INDEX(B4_MixPaid,1,2)*Fleet_1GW_Prod!Y39/Fleet_1GW_Prod!Y41,0)</f>
        <v>0.45</v>
      </c>
      <c r="Z45" s="109" t="n">
        <f aca="false">IF(Fleet_1GW_Prod!Z41&gt;0,INDEX(B4_MixPaid,1,2)*Fleet_1GW_Prod!Z39/Fleet_1GW_Prod!Z41,0)</f>
        <v>0.45</v>
      </c>
      <c r="AA45" s="109" t="n">
        <f aca="false">IF(Fleet_1GW_Prod!AA41&gt;0,INDEX(B4_MixPaid,1,2)*Fleet_1GW_Prod!AA39/Fleet_1GW_Prod!AA41,0)</f>
        <v>0.45</v>
      </c>
      <c r="AB45" s="109" t="n">
        <f aca="false">IF(Fleet_1GW_Prod!AB41&gt;0,INDEX(B4_MixPaid,1,2)*Fleet_1GW_Prod!AB39/Fleet_1GW_Prod!AB41,0)</f>
        <v>0.45</v>
      </c>
      <c r="AC45" s="109" t="n">
        <f aca="false">IF(Fleet_1GW_Prod!AC41&gt;0,INDEX(B4_MixPaid,1,2)*Fleet_1GW_Prod!AC39/Fleet_1GW_Prod!AC41,0)</f>
        <v>0.45</v>
      </c>
      <c r="AD45" s="109" t="n">
        <f aca="false">IF(Fleet_1GW_Prod!AD41&gt;0,INDEX(B4_MixPaid,1,2)*Fleet_1GW_Prod!AD39/Fleet_1GW_Prod!AD41,0)</f>
        <v>0.45</v>
      </c>
      <c r="AE45" s="109" t="n">
        <f aca="false">IF(Fleet_1GW_Prod!AE41&gt;0,INDEX(B4_MixPaid,1,2)*Fleet_1GW_Prod!AE39/Fleet_1GW_Prod!AE41,0)</f>
        <v>0.45</v>
      </c>
      <c r="AF45" s="109" t="n">
        <f aca="false">IF(Fleet_1GW_Prod!AF41&gt;0,INDEX(B4_MixPaid,1,2)*Fleet_1GW_Prod!AF39/Fleet_1GW_Prod!AF41,0)</f>
        <v>0.45</v>
      </c>
      <c r="AG45" s="109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1" t="s">
        <v>1776</v>
      </c>
      <c r="B46" s="58" t="s">
        <v>99</v>
      </c>
      <c r="C46" s="109" t="n">
        <f aca="false">IF(Fleet_1GW_Prod!C41&gt;0,INDEX(B4_MixPaid,1,3)*Fleet_1GW_Prod!C40/Fleet_1GW_Prod!C41,0)</f>
        <v>0</v>
      </c>
      <c r="D46" s="109" t="n">
        <f aca="false">IF(Fleet_1GW_Prod!D41&gt;0,INDEX(B4_MixPaid,1,3)*Fleet_1GW_Prod!D40/Fleet_1GW_Prod!D41,0)</f>
        <v>0</v>
      </c>
      <c r="E46" s="109" t="n">
        <f aca="false">IF(Fleet_1GW_Prod!E41&gt;0,INDEX(B4_MixPaid,1,3)*Fleet_1GW_Prod!E40/Fleet_1GW_Prod!E41,0)</f>
        <v>0</v>
      </c>
      <c r="F46" s="109" t="n">
        <f aca="false">IF(Fleet_1GW_Prod!F41&gt;0,INDEX(B4_MixPaid,1,3)*Fleet_1GW_Prod!F40/Fleet_1GW_Prod!F41,0)</f>
        <v>0.15</v>
      </c>
      <c r="G46" s="109" t="n">
        <f aca="false">IF(Fleet_1GW_Prod!G41&gt;0,INDEX(B4_MixPaid,1,3)*Fleet_1GW_Prod!G40/Fleet_1GW_Prod!G41,0)</f>
        <v>0.15</v>
      </c>
      <c r="H46" s="109" t="n">
        <f aca="false">IF(Fleet_1GW_Prod!H41&gt;0,INDEX(B4_MixPaid,1,3)*Fleet_1GW_Prod!H40/Fleet_1GW_Prod!H41,0)</f>
        <v>0.15</v>
      </c>
      <c r="I46" s="109" t="n">
        <f aca="false">IF(Fleet_1GW_Prod!I41&gt;0,INDEX(B4_MixPaid,1,3)*Fleet_1GW_Prod!I40/Fleet_1GW_Prod!I41,0)</f>
        <v>0.15</v>
      </c>
      <c r="J46" s="109" t="n">
        <f aca="false">IF(Fleet_1GW_Prod!J41&gt;0,INDEX(B4_MixPaid,1,3)*Fleet_1GW_Prod!J40/Fleet_1GW_Prod!J41,0)</f>
        <v>0.15</v>
      </c>
      <c r="K46" s="109" t="n">
        <f aca="false">IF(Fleet_1GW_Prod!K41&gt;0,INDEX(B4_MixPaid,1,3)*Fleet_1GW_Prod!K40/Fleet_1GW_Prod!K41,0)</f>
        <v>0.15</v>
      </c>
      <c r="L46" s="109" t="n">
        <f aca="false">IF(Fleet_1GW_Prod!L41&gt;0,INDEX(B4_MixPaid,1,3)*Fleet_1GW_Prod!L40/Fleet_1GW_Prod!L41,0)</f>
        <v>0.15</v>
      </c>
      <c r="M46" s="109" t="n">
        <f aca="false">IF(Fleet_1GW_Prod!M41&gt;0,INDEX(B4_MixPaid,1,3)*Fleet_1GW_Prod!M40/Fleet_1GW_Prod!M41,0)</f>
        <v>0.15</v>
      </c>
      <c r="N46" s="109" t="n">
        <f aca="false">IF(Fleet_1GW_Prod!N41&gt;0,INDEX(B4_MixPaid,1,3)*Fleet_1GW_Prod!N40/Fleet_1GW_Prod!N41,0)</f>
        <v>0.15</v>
      </c>
      <c r="O46" s="109" t="n">
        <f aca="false">IF(Fleet_1GW_Prod!O41&gt;0,INDEX(B4_MixPaid,1,3)*Fleet_1GW_Prod!O40/Fleet_1GW_Prod!O41,0)</f>
        <v>0.15</v>
      </c>
      <c r="P46" s="109" t="n">
        <f aca="false">IF(Fleet_1GW_Prod!P41&gt;0,INDEX(B4_MixPaid,1,3)*Fleet_1GW_Prod!P40/Fleet_1GW_Prod!P41,0)</f>
        <v>0.15</v>
      </c>
      <c r="Q46" s="109" t="n">
        <f aca="false">IF(Fleet_1GW_Prod!Q41&gt;0,INDEX(B4_MixPaid,1,3)*Fleet_1GW_Prod!Q40/Fleet_1GW_Prod!Q41,0)</f>
        <v>0.15</v>
      </c>
      <c r="S46" s="109" t="n">
        <f aca="false">IF(Fleet_1GW_Prod!S41&gt;0,INDEX(B4_MixPaid,1,3)*Fleet_1GW_Prod!S40/Fleet_1GW_Prod!S41,0)</f>
        <v>0</v>
      </c>
      <c r="T46" s="109" t="n">
        <f aca="false">IF(Fleet_1GW_Prod!T41&gt;0,INDEX(B4_MixPaid,1,3)*Fleet_1GW_Prod!T40/Fleet_1GW_Prod!T41,0)</f>
        <v>0</v>
      </c>
      <c r="U46" s="109" t="n">
        <f aca="false">IF(Fleet_1GW_Prod!U41&gt;0,INDEX(B4_MixPaid,1,3)*Fleet_1GW_Prod!U40/Fleet_1GW_Prod!U41,0)</f>
        <v>0</v>
      </c>
      <c r="V46" s="109" t="n">
        <f aca="false">IF(Fleet_1GW_Prod!V41&gt;0,INDEX(B4_MixPaid,1,3)*Fleet_1GW_Prod!V40/Fleet_1GW_Prod!V41,0)</f>
        <v>0.15</v>
      </c>
      <c r="W46" s="109" t="n">
        <f aca="false">IF(Fleet_1GW_Prod!W41&gt;0,INDEX(B4_MixPaid,1,3)*Fleet_1GW_Prod!W40/Fleet_1GW_Prod!W41,0)</f>
        <v>0.15</v>
      </c>
      <c r="X46" s="109" t="n">
        <f aca="false">IF(Fleet_1GW_Prod!X41&gt;0,INDEX(B4_MixPaid,1,3)*Fleet_1GW_Prod!X40/Fleet_1GW_Prod!X41,0)</f>
        <v>0.15</v>
      </c>
      <c r="Y46" s="109" t="n">
        <f aca="false">IF(Fleet_1GW_Prod!Y41&gt;0,INDEX(B4_MixPaid,1,3)*Fleet_1GW_Prod!Y40/Fleet_1GW_Prod!Y41,0)</f>
        <v>0.15</v>
      </c>
      <c r="Z46" s="109" t="n">
        <f aca="false">IF(Fleet_1GW_Prod!Z41&gt;0,INDEX(B4_MixPaid,1,3)*Fleet_1GW_Prod!Z40/Fleet_1GW_Prod!Z41,0)</f>
        <v>0.15</v>
      </c>
      <c r="AA46" s="109" t="n">
        <f aca="false">IF(Fleet_1GW_Prod!AA41&gt;0,INDEX(B4_MixPaid,1,3)*Fleet_1GW_Prod!AA40/Fleet_1GW_Prod!AA41,0)</f>
        <v>0.15</v>
      </c>
      <c r="AB46" s="109" t="n">
        <f aca="false">IF(Fleet_1GW_Prod!AB41&gt;0,INDEX(B4_MixPaid,1,3)*Fleet_1GW_Prod!AB40/Fleet_1GW_Prod!AB41,0)</f>
        <v>0.15</v>
      </c>
      <c r="AC46" s="109" t="n">
        <f aca="false">IF(Fleet_1GW_Prod!AC41&gt;0,INDEX(B4_MixPaid,1,3)*Fleet_1GW_Prod!AC40/Fleet_1GW_Prod!AC41,0)</f>
        <v>0.15</v>
      </c>
      <c r="AD46" s="109" t="n">
        <f aca="false">IF(Fleet_1GW_Prod!AD41&gt;0,INDEX(B4_MixPaid,1,3)*Fleet_1GW_Prod!AD40/Fleet_1GW_Prod!AD41,0)</f>
        <v>0.15</v>
      </c>
      <c r="AE46" s="109" t="n">
        <f aca="false">IF(Fleet_1GW_Prod!AE41&gt;0,INDEX(B4_MixPaid,1,3)*Fleet_1GW_Prod!AE40/Fleet_1GW_Prod!AE41,0)</f>
        <v>0.15</v>
      </c>
      <c r="AF46" s="109" t="n">
        <f aca="false">IF(Fleet_1GW_Prod!AF41&gt;0,INDEX(B4_MixPaid,1,3)*Fleet_1GW_Prod!AF40/Fleet_1GW_Prod!AF41,0)</f>
        <v>0.15</v>
      </c>
      <c r="AG46" s="109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2385</v>
      </c>
    </row>
    <row r="2" customFormat="false" ht="15" hidden="false" customHeight="false" outlineLevel="0" collapsed="false">
      <c r="A2" s="73" t="s">
        <v>2386</v>
      </c>
    </row>
    <row r="3" customFormat="false" ht="15" hidden="false" customHeight="false" outlineLevel="0" collapsed="false">
      <c r="S3" s="59" t="s">
        <v>2360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89" t="n">
        <f aca="false">Amortize!C6</f>
        <v>1</v>
      </c>
      <c r="D6" s="89" t="n">
        <f aca="false">Amortize!D6</f>
        <v>1</v>
      </c>
      <c r="E6" s="89" t="n">
        <f aca="false">Amortize!E6</f>
        <v>1</v>
      </c>
      <c r="F6" s="89" t="n">
        <f aca="false">Amortize!F6</f>
        <v>2</v>
      </c>
      <c r="G6" s="89" t="n">
        <f aca="false">Amortize!G6</f>
        <v>2</v>
      </c>
      <c r="H6" s="89" t="n">
        <f aca="false">Amortize!H6</f>
        <v>2</v>
      </c>
      <c r="I6" s="89" t="n">
        <f aca="false">Amortize!I6</f>
        <v>3</v>
      </c>
      <c r="J6" s="89" t="n">
        <f aca="false">Amortize!J6</f>
        <v>3</v>
      </c>
      <c r="K6" s="89" t="n">
        <f aca="false">Amortize!K6</f>
        <v>3</v>
      </c>
      <c r="L6" s="89" t="n">
        <f aca="false">Amortize!L6</f>
        <v>4</v>
      </c>
      <c r="M6" s="89" t="n">
        <f aca="false">Amortize!M6</f>
        <v>4</v>
      </c>
      <c r="N6" s="89" t="n">
        <f aca="false">Amortize!N6</f>
        <v>4</v>
      </c>
      <c r="O6" s="89" t="n">
        <f aca="false">Amortize!O6</f>
        <v>5</v>
      </c>
      <c r="P6" s="89" t="n">
        <f aca="false">Amortize!P6</f>
        <v>5</v>
      </c>
      <c r="Q6" s="89" t="n">
        <f aca="false">Amortize!Q6</f>
        <v>5</v>
      </c>
      <c r="S6" s="89" t="n">
        <f aca="false">Amortize!C6</f>
        <v>1</v>
      </c>
      <c r="T6" s="89" t="n">
        <f aca="false">Amortize!D6</f>
        <v>1</v>
      </c>
      <c r="U6" s="89" t="n">
        <f aca="false">Amortize!E6</f>
        <v>1</v>
      </c>
      <c r="V6" s="89" t="n">
        <f aca="false">Amortize!F6</f>
        <v>2</v>
      </c>
      <c r="W6" s="89" t="n">
        <f aca="false">Amortize!G6</f>
        <v>2</v>
      </c>
      <c r="X6" s="89" t="n">
        <f aca="false">Amortize!H6</f>
        <v>2</v>
      </c>
      <c r="Y6" s="89" t="n">
        <f aca="false">Amortize!I6</f>
        <v>3</v>
      </c>
      <c r="Z6" s="89" t="n">
        <f aca="false">Amortize!J6</f>
        <v>3</v>
      </c>
      <c r="AA6" s="89" t="n">
        <f aca="false">Amortize!K6</f>
        <v>3</v>
      </c>
      <c r="AB6" s="89" t="n">
        <f aca="false">Amortize!L6</f>
        <v>4</v>
      </c>
      <c r="AC6" s="89" t="n">
        <f aca="false">Amortize!M6</f>
        <v>4</v>
      </c>
      <c r="AD6" s="89" t="n">
        <f aca="false">Amortize!N6</f>
        <v>4</v>
      </c>
      <c r="AE6" s="89" t="n">
        <f aca="false">Amortize!O6</f>
        <v>5</v>
      </c>
      <c r="AF6" s="89" t="n">
        <f aca="false">Amortize!P6</f>
        <v>5</v>
      </c>
      <c r="AG6" s="89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89" t="n">
        <f aca="false">Amortize!C7</f>
        <v>1</v>
      </c>
      <c r="D7" s="89" t="n">
        <f aca="false">Amortize!D7</f>
        <v>2</v>
      </c>
      <c r="E7" s="89" t="n">
        <f aca="false">Amortize!E7</f>
        <v>3</v>
      </c>
      <c r="F7" s="89" t="n">
        <f aca="false">Amortize!F7</f>
        <v>4</v>
      </c>
      <c r="G7" s="89" t="n">
        <f aca="false">Amortize!G7</f>
        <v>5</v>
      </c>
      <c r="H7" s="89" t="n">
        <f aca="false">Amortize!H7</f>
        <v>6</v>
      </c>
      <c r="I7" s="89" t="n">
        <f aca="false">Amortize!I7</f>
        <v>7</v>
      </c>
      <c r="J7" s="89" t="n">
        <f aca="false">Amortize!J7</f>
        <v>8</v>
      </c>
      <c r="K7" s="89" t="n">
        <f aca="false">Amortize!K7</f>
        <v>9</v>
      </c>
      <c r="L7" s="89" t="n">
        <f aca="false">Amortize!L7</f>
        <v>10</v>
      </c>
      <c r="M7" s="89" t="n">
        <f aca="false">Amortize!M7</f>
        <v>11</v>
      </c>
      <c r="N7" s="89" t="n">
        <f aca="false">Amortize!N7</f>
        <v>12</v>
      </c>
      <c r="O7" s="89" t="n">
        <f aca="false">Amortize!O7</f>
        <v>13</v>
      </c>
      <c r="P7" s="89" t="n">
        <f aca="false">Amortize!P7</f>
        <v>14</v>
      </c>
      <c r="Q7" s="89" t="n">
        <f aca="false">Amortize!Q7</f>
        <v>15</v>
      </c>
      <c r="S7" s="89" t="n">
        <f aca="false">Amortize!C7</f>
        <v>1</v>
      </c>
      <c r="T7" s="89" t="n">
        <f aca="false">Amortize!D7</f>
        <v>2</v>
      </c>
      <c r="U7" s="89" t="n">
        <f aca="false">Amortize!E7</f>
        <v>3</v>
      </c>
      <c r="V7" s="89" t="n">
        <f aca="false">Amortize!F7</f>
        <v>4</v>
      </c>
      <c r="W7" s="89" t="n">
        <f aca="false">Amortize!G7</f>
        <v>5</v>
      </c>
      <c r="X7" s="89" t="n">
        <f aca="false">Amortize!H7</f>
        <v>6</v>
      </c>
      <c r="Y7" s="89" t="n">
        <f aca="false">Amortize!I7</f>
        <v>7</v>
      </c>
      <c r="Z7" s="89" t="n">
        <f aca="false">Amortize!J7</f>
        <v>8</v>
      </c>
      <c r="AA7" s="89" t="n">
        <f aca="false">Amortize!K7</f>
        <v>9</v>
      </c>
      <c r="AB7" s="89" t="n">
        <f aca="false">Amortize!L7</f>
        <v>10</v>
      </c>
      <c r="AC7" s="89" t="n">
        <f aca="false">Amortize!M7</f>
        <v>11</v>
      </c>
      <c r="AD7" s="89" t="n">
        <f aca="false">Amortize!N7</f>
        <v>12</v>
      </c>
      <c r="AE7" s="89" t="n">
        <f aca="false">Amortize!O7</f>
        <v>13</v>
      </c>
      <c r="AF7" s="89" t="n">
        <f aca="false">Amortize!P7</f>
        <v>14</v>
      </c>
      <c r="AG7" s="89" t="n">
        <f aca="false">Amortize!Q7</f>
        <v>15</v>
      </c>
    </row>
    <row r="10" customFormat="false" ht="15" hidden="false" customHeight="false" outlineLevel="0" collapsed="false">
      <c r="A10" s="60" t="s">
        <v>1782</v>
      </c>
      <c r="B10" s="58" t="s">
        <v>877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27.4775824046781</v>
      </c>
      <c r="G10" s="98" t="n">
        <f aca="false">INDEX(Interface_Prod!$C$60:$Q$60,1,Amortize!G$7)</f>
        <v>36.6883525928678</v>
      </c>
      <c r="H10" s="98" t="n">
        <f aca="false">INDEX(Interface_Prod!$C$60:$Q$60,1,Amortize!H$7)</f>
        <v>59.5055585713732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25.0277109184711</v>
      </c>
      <c r="W10" s="98" t="n">
        <f aca="false">INDEX(Interface_Prod!$S$60:$AG$60,1,Amortize!G$7)</f>
        <v>33.4172588128753</v>
      </c>
      <c r="X10" s="98" t="n">
        <f aca="false">INDEX(Interface_Prod!$S$60:$AG$60,1,Amortize!H$7)</f>
        <v>54.2001074196734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0" t="s">
        <v>1784</v>
      </c>
      <c r="B12" s="58" t="s">
        <v>1785</v>
      </c>
      <c r="C12" s="62" t="n">
        <f aca="false">IF(ISNUMBER(Fleet_1GW_Prod!C21),Fleet_1GW_Prod!C21*INDEX(B4_Life,1,1)/12,"SLO 不可達")</f>
        <v>1242402084.932</v>
      </c>
      <c r="D12" s="62" t="n">
        <f aca="false">IF(ISNUMBER(Fleet_1GW_Prod!D21),Fleet_1GW_Prod!D21*INDEX(B4_Life,1,1)/12,"SLO 不可達")</f>
        <v>1242402084.932</v>
      </c>
      <c r="E12" s="62" t="n">
        <f aca="false">IF(ISNUMBER(Fleet_1GW_Prod!E21),Fleet_1GW_Prod!E21*INDEX(B4_Life,1,1)/12,"SLO 不可達")</f>
        <v>1242402084.932</v>
      </c>
      <c r="F12" s="62" t="n">
        <f aca="false">IF(ISNUMBER(Fleet_1GW_Prod!F21),Fleet_1GW_Prod!F21*INDEX(B4_Life,1,1)/12,"SLO 不可達")</f>
        <v>3118345717.62809</v>
      </c>
      <c r="G12" s="62" t="n">
        <f aca="false">IF(ISNUMBER(Fleet_1GW_Prod!G21),Fleet_1GW_Prod!G21*INDEX(B4_Life,1,1)/12,"SLO 不可達")</f>
        <v>3118345717.62809</v>
      </c>
      <c r="H12" s="62" t="n">
        <f aca="false">IF(ISNUMBER(Fleet_1GW_Prod!H21),Fleet_1GW_Prod!H21*INDEX(B4_Life,1,1)/12,"SLO 不可達")</f>
        <v>3118345717.62809</v>
      </c>
      <c r="I12" s="62" t="n">
        <f aca="false">IF(ISNUMBER(Fleet_1GW_Prod!I21),Fleet_1GW_Prod!I21*INDEX(B4_Life,1,1)/12,"SLO 不可達")</f>
        <v>3923640540.72866</v>
      </c>
      <c r="J12" s="62" t="n">
        <f aca="false">IF(ISNUMBER(Fleet_1GW_Prod!J21),Fleet_1GW_Prod!J21*INDEX(B4_Life,1,1)/12,"SLO 不可達")</f>
        <v>3923640540.72866</v>
      </c>
      <c r="K12" s="62" t="n">
        <f aca="false">IF(ISNUMBER(Fleet_1GW_Prod!K21),Fleet_1GW_Prod!K21*INDEX(B4_Life,1,1)/12,"SLO 不可達")</f>
        <v>3923640540.72866</v>
      </c>
      <c r="L12" s="62" t="n">
        <f aca="false">IF(ISNUMBER(Fleet_1GW_Prod!L21),Fleet_1GW_Prod!L21*INDEX(B4_Life,1,1)/12,"SLO 不可達")</f>
        <v>7775798941.83008</v>
      </c>
      <c r="M12" s="62" t="n">
        <f aca="false">IF(ISNUMBER(Fleet_1GW_Prod!M21),Fleet_1GW_Prod!M21*INDEX(B4_Life,1,1)/12,"SLO 不可達")</f>
        <v>7775798941.83008</v>
      </c>
      <c r="N12" s="62" t="n">
        <f aca="false">IF(ISNUMBER(Fleet_1GW_Prod!N21),Fleet_1GW_Prod!N21*INDEX(B4_Life,1,1)/12,"SLO 不可達")</f>
        <v>7775798941.83008</v>
      </c>
      <c r="O12" s="62" t="n">
        <f aca="false">IF(ISNUMBER(Fleet_1GW_Prod!O21),Fleet_1GW_Prod!O21*INDEX(B4_Life,1,1)/12,"SLO 不可達")</f>
        <v>11101923691.8132</v>
      </c>
      <c r="P12" s="62" t="n">
        <f aca="false">IF(ISNUMBER(Fleet_1GW_Prod!P21),Fleet_1GW_Prod!P21*INDEX(B4_Life,1,1)/12,"SLO 不可達")</f>
        <v>11101923691.8132</v>
      </c>
      <c r="Q12" s="62" t="n">
        <f aca="false">IF(ISNUMBER(Fleet_1GW_Prod!Q21),Fleet_1GW_Prod!Q21*INDEX(B4_Life,1,1)/12,"SLO 不可達")</f>
        <v>11101923691.8132</v>
      </c>
      <c r="S12" s="62" t="n">
        <f aca="false">IF(ISNUMBER(Fleet_1GW_Prod!S21),Fleet_1GW_Prod!S21*INDEX(B4_Life,1,1)/12,"SLO 不可達")</f>
        <v>1745460952.99315</v>
      </c>
      <c r="T12" s="62" t="n">
        <f aca="false">IF(ISNUMBER(Fleet_1GW_Prod!T21),Fleet_1GW_Prod!T21*INDEX(B4_Life,1,1)/12,"SLO 不可達")</f>
        <v>1745460952.99315</v>
      </c>
      <c r="U12" s="62" t="n">
        <f aca="false">IF(ISNUMBER(Fleet_1GW_Prod!U21),Fleet_1GW_Prod!U21*INDEX(B4_Life,1,1)/12,"SLO 不可達")</f>
        <v>1745460952.99315</v>
      </c>
      <c r="V12" s="62" t="n">
        <f aca="false">IF(ISNUMBER(Fleet_1GW_Prod!V21),Fleet_1GW_Prod!V21*INDEX(B4_Life,1,1)/12,"SLO 不可達")</f>
        <v>4115849928.14302</v>
      </c>
      <c r="W12" s="62" t="n">
        <f aca="false">IF(ISNUMBER(Fleet_1GW_Prod!W21),Fleet_1GW_Prod!W21*INDEX(B4_Life,1,1)/12,"SLO 不可達")</f>
        <v>4115849928.14302</v>
      </c>
      <c r="X12" s="62" t="n">
        <f aca="false">IF(ISNUMBER(Fleet_1GW_Prod!X21),Fleet_1GW_Prod!X21*INDEX(B4_Life,1,1)/12,"SLO 不可達")</f>
        <v>4115849928.14302</v>
      </c>
      <c r="Y12" s="62" t="n">
        <f aca="false">IF(ISNUMBER(Fleet_1GW_Prod!Y21),Fleet_1GW_Prod!Y21*INDEX(B4_Life,1,1)/12,"SLO 不可達")</f>
        <v>5358405295.61443</v>
      </c>
      <c r="Z12" s="62" t="n">
        <f aca="false">IF(ISNUMBER(Fleet_1GW_Prod!Z21),Fleet_1GW_Prod!Z21*INDEX(B4_Life,1,1)/12,"SLO 不可達")</f>
        <v>5358405295.61443</v>
      </c>
      <c r="AA12" s="62" t="n">
        <f aca="false">IF(ISNUMBER(Fleet_1GW_Prod!AA21),Fleet_1GW_Prod!AA21*INDEX(B4_Life,1,1)/12,"SLO 不可達")</f>
        <v>5358405295.61443</v>
      </c>
      <c r="AB12" s="62" t="n">
        <f aca="false">IF(ISNUMBER(Fleet_1GW_Prod!AB21),Fleet_1GW_Prod!AB21*INDEX(B4_Life,1,1)/12,"SLO 不可達")</f>
        <v>9940186549.66862</v>
      </c>
      <c r="AC12" s="62" t="n">
        <f aca="false">IF(ISNUMBER(Fleet_1GW_Prod!AC21),Fleet_1GW_Prod!AC21*INDEX(B4_Life,1,1)/12,"SLO 不可達")</f>
        <v>9940186549.66862</v>
      </c>
      <c r="AD12" s="62" t="n">
        <f aca="false">IF(ISNUMBER(Fleet_1GW_Prod!AD21),Fleet_1GW_Prod!AD21*INDEX(B4_Life,1,1)/12,"SLO 不可達")</f>
        <v>9940186549.66862</v>
      </c>
      <c r="AE12" s="62" t="n">
        <f aca="false">IF(ISNUMBER(Fleet_1GW_Prod!AE21),Fleet_1GW_Prod!AE21*INDEX(B4_Life,1,1)/12,"SLO 不可達")</f>
        <v>14062015619.0357</v>
      </c>
      <c r="AF12" s="62" t="n">
        <f aca="false">IF(ISNUMBER(Fleet_1GW_Prod!AF21),Fleet_1GW_Prod!AF21*INDEX(B4_Life,1,1)/12,"SLO 不可達")</f>
        <v>14062015619.0357</v>
      </c>
      <c r="AG12" s="62" t="n">
        <f aca="false">IF(ISNUMBER(Fleet_1GW_Prod!AG21),Fleet_1GW_Prod!AG21*INDEX(B4_Life,1,1)/12,"SLO 不可達")</f>
        <v>14062015619.0357</v>
      </c>
    </row>
    <row r="13" customFormat="false" ht="15" hidden="false" customHeight="false" outlineLevel="0" collapsed="false">
      <c r="A13" s="60" t="s">
        <v>1786</v>
      </c>
      <c r="B13" s="58" t="s">
        <v>807</v>
      </c>
      <c r="C13" s="175" t="n">
        <f aca="false">IF(AND(ISNUMBER(Amortize_Prod!C12),ISNUMBER(Amortize_Prod!C10)),IF(Amortize_Prod!C12&gt;0,Amortize_Prod!C10*1000000/Amortize_Prod!C12,0),"SLO 不可達")</f>
        <v>0.0579227804749873</v>
      </c>
      <c r="D13" s="175" t="n">
        <f aca="false">IF(AND(ISNUMBER(Amortize_Prod!D12),ISNUMBER(Amortize_Prod!D10)),IF(Amortize_Prod!D12&gt;0,Amortize_Prod!D10*1000000/Amortize_Prod!D12,0),"SLO 不可達")</f>
        <v>0.0827600672204503</v>
      </c>
      <c r="E13" s="175" t="n">
        <f aca="false">IF(AND(ISNUMBER(Amortize_Prod!E12),ISNUMBER(Amortize_Prod!E10)),IF(Amortize_Prod!E12&gt;0,Amortize_Prod!E10*1000000/Amortize_Prod!E12,0),"SLO 不可達")</f>
        <v>0.142129475149713</v>
      </c>
      <c r="F13" s="175" t="n">
        <f aca="false">IF(AND(ISNUMBER(Amortize_Prod!F12),ISNUMBER(Amortize_Prod!F10)),IF(Amortize_Prod!F12&gt;0,Amortize_Prod!F10*1000000/Amortize_Prod!F12,0),"SLO 不可達")</f>
        <v>0.00881158950700899</v>
      </c>
      <c r="G13" s="175" t="n">
        <f aca="false">IF(AND(ISNUMBER(Amortize_Prod!G12),ISNUMBER(Amortize_Prod!G10)),IF(Amortize_Prod!G12&gt;0,Amortize_Prod!G10*1000000/Amortize_Prod!G12,0),"SLO 不可達")</f>
        <v>0.0117653255652405</v>
      </c>
      <c r="H13" s="175" t="n">
        <f aca="false">IF(AND(ISNUMBER(Amortize_Prod!H12),ISNUMBER(Amortize_Prod!H10)),IF(Amortize_Prod!H12&gt;0,Amortize_Prod!H10*1000000/Amortize_Prod!H12,0),"SLO 不可達")</f>
        <v>0.0190824122658969</v>
      </c>
      <c r="I13" s="175" t="n">
        <f aca="false">IF(AND(ISNUMBER(Amortize_Prod!I12),ISNUMBER(Amortize_Prod!I10)),IF(Amortize_Prod!I12&gt;0,Amortize_Prod!I10*1000000/Amortize_Prod!I12,0),"SLO 不可達")</f>
        <v>0.00771887797790361</v>
      </c>
      <c r="J13" s="175" t="n">
        <f aca="false">IF(AND(ISNUMBER(Amortize_Prod!J12),ISNUMBER(Amortize_Prod!J10)),IF(Amortize_Prod!J12&gt;0,Amortize_Prod!J10*1000000/Amortize_Prod!J12,0),"SLO 不可達")</f>
        <v>0.00996937760646393</v>
      </c>
      <c r="K13" s="175" t="n">
        <f aca="false">IF(AND(ISNUMBER(Amortize_Prod!K12),ISNUMBER(Amortize_Prod!K10)),IF(Amortize_Prod!K12&gt;0,Amortize_Prod!K10*1000000/Amortize_Prod!K12,0),"SLO 不可達")</f>
        <v>0.0169733514374919</v>
      </c>
      <c r="L13" s="175" t="n">
        <f aca="false">IF(AND(ISNUMBER(Amortize_Prod!L12),ISNUMBER(Amortize_Prod!L10)),IF(Amortize_Prod!L12&gt;0,Amortize_Prod!L10*1000000/Amortize_Prod!L12,0),"SLO 不可達")</f>
        <v>0.00297661507480165</v>
      </c>
      <c r="M13" s="175" t="n">
        <f aca="false">IF(AND(ISNUMBER(Amortize_Prod!M12),ISNUMBER(Amortize_Prod!M10)),IF(Amortize_Prod!M12&gt;0,Amortize_Prod!M10*1000000/Amortize_Prod!M12,0),"SLO 不可達")</f>
        <v>0.00382571772707984</v>
      </c>
      <c r="N13" s="175" t="n">
        <f aca="false">IF(AND(ISNUMBER(Amortize_Prod!N12),ISNUMBER(Amortize_Prod!N10)),IF(Amortize_Prod!N12&gt;0,Amortize_Prod!N10*1000000/Amortize_Prod!N12,0),"SLO 不可達")</f>
        <v>0.00618056545765337</v>
      </c>
      <c r="O13" s="175" t="n">
        <f aca="false">IF(AND(ISNUMBER(Amortize_Prod!O12),ISNUMBER(Amortize_Prod!O10)),IF(Amortize_Prod!O12&gt;0,Amortize_Prod!O10*1000000/Amortize_Prod!O12,0),"SLO 不可達")</f>
        <v>0.00141573677721804</v>
      </c>
      <c r="P13" s="175" t="n">
        <f aca="false">IF(AND(ISNUMBER(Amortize_Prod!P12),ISNUMBER(Amortize_Prod!P10)),IF(Amortize_Prod!P12&gt;0,Amortize_Prod!P10*1000000/Amortize_Prod!P12,0),"SLO 不可達")</f>
        <v>0.00215172578122032</v>
      </c>
      <c r="Q13" s="175" t="n">
        <f aca="false">IF(AND(ISNUMBER(Amortize_Prod!Q12),ISNUMBER(Amortize_Prod!Q10)),IF(Amortize_Prod!Q12&gt;0,Amortize_Prod!Q10*1000000/Amortize_Prod!Q12,0),"SLO 不可達")</f>
        <v>0.00392806465773844</v>
      </c>
      <c r="S13" s="175" t="n">
        <f aca="false">IF(AND(ISNUMBER(Amortize_Prod!S12),ISNUMBER(Amortize_Prod!S10)),IF(Amortize_Prod!S12&gt;0,Amortize_Prod!S10*1000000/Amortize_Prod!S12,0),"SLO 不可達")</f>
        <v>0.0360837418666932</v>
      </c>
      <c r="T13" s="175" t="n">
        <f aca="false">IF(AND(ISNUMBER(Amortize_Prod!T12),ISNUMBER(Amortize_Prod!T10)),IF(Amortize_Prod!T12&gt;0,Amortize_Prod!T10*1000000/Amortize_Prod!T12,0),"SLO 不可達")</f>
        <v>0.05155644943085</v>
      </c>
      <c r="U13" s="175" t="n">
        <f aca="false">IF(AND(ISNUMBER(Amortize_Prod!U12),ISNUMBER(Amortize_Prod!U10)),IF(Amortize_Prod!U12&gt;0,Amortize_Prod!U10*1000000/Amortize_Prod!U12,0),"SLO 不可達")</f>
        <v>0.0885413864958624</v>
      </c>
      <c r="V13" s="175" t="n">
        <f aca="false">IF(AND(ISNUMBER(Amortize_Prod!V12),ISNUMBER(Amortize_Prod!V10)),IF(Amortize_Prod!V12&gt;0,Amortize_Prod!V10*1000000/Amortize_Prod!V12,0),"SLO 不可達")</f>
        <v>0.00608081231226111</v>
      </c>
      <c r="W13" s="175" t="n">
        <f aca="false">IF(AND(ISNUMBER(Amortize_Prod!W12),ISNUMBER(Amortize_Prod!W10)),IF(Amortize_Prod!W12&gt;0,Amortize_Prod!W10*1000000/Amortize_Prod!W12,0),"SLO 不可達")</f>
        <v>0.00811916357405977</v>
      </c>
      <c r="X13" s="175" t="n">
        <f aca="false">IF(AND(ISNUMBER(Amortize_Prod!X12),ISNUMBER(Amortize_Prod!X10)),IF(Amortize_Prod!X12&gt;0,Amortize_Prod!X10*1000000/Amortize_Prod!X12,0),"SLO 不可達")</f>
        <v>0.0131686306269498</v>
      </c>
      <c r="Y13" s="175" t="n">
        <f aca="false">IF(AND(ISNUMBER(Amortize_Prod!Y12),ISNUMBER(Amortize_Prod!Y10)),IF(Amortize_Prod!Y12&gt;0,Amortize_Prod!Y10*1000000/Amortize_Prod!Y12,0),"SLO 不可達")</f>
        <v>0.00523654199470806</v>
      </c>
      <c r="Z13" s="175" t="n">
        <f aca="false">IF(AND(ISNUMBER(Amortize_Prod!Z12),ISNUMBER(Amortize_Prod!Z10)),IF(Amortize_Prod!Z12&gt;0,Amortize_Prod!Z10*1000000/Amortize_Prod!Z12,0),"SLO 不可達")</f>
        <v>0.00676329702928261</v>
      </c>
      <c r="AA13" s="175" t="n">
        <f aca="false">IF(AND(ISNUMBER(Amortize_Prod!AA12),ISNUMBER(Amortize_Prod!AA10)),IF(Amortize_Prod!AA12&gt;0,Amortize_Prod!AA10*1000000/Amortize_Prod!AA12,0),"SLO 不可達")</f>
        <v>0.0115148429406192</v>
      </c>
      <c r="AB13" s="175" t="n">
        <f aca="false">IF(AND(ISNUMBER(Amortize_Prod!AB12),ISNUMBER(Amortize_Prod!AB10)),IF(Amortize_Prod!AB12&gt;0,Amortize_Prod!AB10*1000000/Amortize_Prod!AB12,0),"SLO 不可達")</f>
        <v>0.00210940192005383</v>
      </c>
      <c r="AC13" s="175" t="n">
        <f aca="false">IF(AND(ISNUMBER(Amortize_Prod!AC12),ISNUMBER(Amortize_Prod!AC10)),IF(Amortize_Prod!AC12&gt;0,Amortize_Prod!AC10*1000000/Amortize_Prod!AC12,0),"SLO 不可達")</f>
        <v>0.00271112526016618</v>
      </c>
      <c r="AD13" s="175" t="n">
        <f aca="false">IF(AND(ISNUMBER(Amortize_Prod!AD12),ISNUMBER(Amortize_Prod!AD10)),IF(Amortize_Prod!AD12&gt;0,Amortize_Prod!AD10*1000000/Amortize_Prod!AD12,0),"SLO 不可達")</f>
        <v>0.00437990681219042</v>
      </c>
      <c r="AE13" s="175" t="n">
        <f aca="false">IF(AND(ISNUMBER(Amortize_Prod!AE12),ISNUMBER(Amortize_Prod!AE10)),IF(Amortize_Prod!AE12&gt;0,Amortize_Prod!AE10*1000000/Amortize_Prod!AE12,0),"SLO 不可達")</f>
        <v>0.00102767416465181</v>
      </c>
      <c r="AF13" s="175" t="n">
        <f aca="false">IF(AND(ISNUMBER(Amortize_Prod!AF12),ISNUMBER(Amortize_Prod!AF10)),IF(Amortize_Prod!AF12&gt;0,Amortize_Prod!AF10*1000000/Amortize_Prod!AF12,0),"SLO 不可達")</f>
        <v>0.00156192381970931</v>
      </c>
      <c r="AG13" s="175" t="n">
        <f aca="false">IF(AND(ISNUMBER(Amortize_Prod!AG12),ISNUMBER(Amortize_Prod!AG10)),IF(Amortize_Prod!AG12&gt;0,Amortize_Prod!AG10*1000000/Amortize_Prod!AG12,0),"SLO 不可達")</f>
        <v>0.00285135671460905</v>
      </c>
    </row>
    <row r="14" customFormat="false" ht="15" hidden="false" customHeight="false" outlineLevel="0" collapsed="false">
      <c r="A14" s="60" t="s">
        <v>1787</v>
      </c>
      <c r="B14" s="58" t="s">
        <v>807</v>
      </c>
      <c r="C14" s="158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0.224784037413647</v>
      </c>
      <c r="D14" s="158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0.321166781809049</v>
      </c>
      <c r="E14" s="158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0.551553720929835</v>
      </c>
      <c r="F14" s="158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58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58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58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58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58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58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58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58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58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58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58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58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0.145199997861622</v>
      </c>
      <c r="T14" s="158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0.207457108188586</v>
      </c>
      <c r="U14" s="158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0.356272388109361</v>
      </c>
      <c r="V14" s="158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58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58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58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58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58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58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58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58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58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58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58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60" t="s">
        <v>1782</v>
      </c>
      <c r="B19" s="58" t="s">
        <v>877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79.5923403673566</v>
      </c>
      <c r="G19" s="98" t="n">
        <f aca="false">INDEX(Interface_Prod!$C$69:$Q$69,1,Amortize!G$7)</f>
        <v>106.272517140809</v>
      </c>
      <c r="H19" s="98" t="n">
        <f aca="false">INDEX(Interface_Prod!$C$69:$Q$69,1,Amortize!H$7)</f>
        <v>172.365479677574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74.0361250834957</v>
      </c>
      <c r="W19" s="98" t="n">
        <f aca="false">INDEX(Interface_Prod!$S$69:$AG$69,1,Amortize!G$7)</f>
        <v>98.8538009519539</v>
      </c>
      <c r="X19" s="98" t="n">
        <f aca="false">INDEX(Interface_Prod!$S$69:$AG$69,1,Amortize!H$7)</f>
        <v>160.332918401272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0" t="s">
        <v>1784</v>
      </c>
      <c r="B21" s="58" t="s">
        <v>1785</v>
      </c>
      <c r="C21" s="62" t="n">
        <f aca="false">IF(ISNUMBER(Fleet_1GW_Prod!C24),Fleet_1GW_Prod!C24*INDEX(B4_Life,1,2)/12,"SLO 不可達")</f>
        <v>1397702345.5485</v>
      </c>
      <c r="D21" s="62" t="n">
        <f aca="false">IF(ISNUMBER(Fleet_1GW_Prod!D24),Fleet_1GW_Prod!D24*INDEX(B4_Life,1,2)/12,"SLO 不可達")</f>
        <v>1397702345.5485</v>
      </c>
      <c r="E21" s="62" t="n">
        <f aca="false">IF(ISNUMBER(Fleet_1GW_Prod!E24),Fleet_1GW_Prod!E24*INDEX(B4_Life,1,2)/12,"SLO 不可達")</f>
        <v>1397702345.5485</v>
      </c>
      <c r="F21" s="62" t="n">
        <f aca="false">IF(ISNUMBER(Fleet_1GW_Prod!F24),Fleet_1GW_Prod!F24*INDEX(B4_Life,1,2)/12,"SLO 不可達")</f>
        <v>3508138932.3316</v>
      </c>
      <c r="G21" s="62" t="n">
        <f aca="false">IF(ISNUMBER(Fleet_1GW_Prod!G24),Fleet_1GW_Prod!G24*INDEX(B4_Life,1,2)/12,"SLO 不可達")</f>
        <v>3508138932.3316</v>
      </c>
      <c r="H21" s="62" t="n">
        <f aca="false">IF(ISNUMBER(Fleet_1GW_Prod!H24),Fleet_1GW_Prod!H24*INDEX(B4_Life,1,2)/12,"SLO 不可達")</f>
        <v>3508138932.3316</v>
      </c>
      <c r="I21" s="62" t="n">
        <f aca="false">IF(ISNUMBER(Fleet_1GW_Prod!I24),Fleet_1GW_Prod!I24*INDEX(B4_Life,1,2)/12,"SLO 不可達")</f>
        <v>4414095608.31975</v>
      </c>
      <c r="J21" s="62" t="n">
        <f aca="false">IF(ISNUMBER(Fleet_1GW_Prod!J24),Fleet_1GW_Prod!J24*INDEX(B4_Life,1,2)/12,"SLO 不可達")</f>
        <v>4414095608.31975</v>
      </c>
      <c r="K21" s="62" t="n">
        <f aca="false">IF(ISNUMBER(Fleet_1GW_Prod!K24),Fleet_1GW_Prod!K24*INDEX(B4_Life,1,2)/12,"SLO 不可達")</f>
        <v>4414095608.31975</v>
      </c>
      <c r="L21" s="62" t="n">
        <f aca="false">IF(ISNUMBER(Fleet_1GW_Prod!L24),Fleet_1GW_Prod!L24*INDEX(B4_Life,1,2)/12,"SLO 不可達")</f>
        <v>8747773809.55884</v>
      </c>
      <c r="M21" s="62" t="n">
        <f aca="false">IF(ISNUMBER(Fleet_1GW_Prod!M24),Fleet_1GW_Prod!M24*INDEX(B4_Life,1,2)/12,"SLO 不可達")</f>
        <v>8747773809.55884</v>
      </c>
      <c r="N21" s="62" t="n">
        <f aca="false">IF(ISNUMBER(Fleet_1GW_Prod!N24),Fleet_1GW_Prod!N24*INDEX(B4_Life,1,2)/12,"SLO 不可達")</f>
        <v>8747773809.55884</v>
      </c>
      <c r="O21" s="62" t="n">
        <f aca="false">IF(ISNUMBER(Fleet_1GW_Prod!O24),Fleet_1GW_Prod!O24*INDEX(B4_Life,1,2)/12,"SLO 不可達")</f>
        <v>12489664153.2899</v>
      </c>
      <c r="P21" s="62" t="n">
        <f aca="false">IF(ISNUMBER(Fleet_1GW_Prod!P24),Fleet_1GW_Prod!P24*INDEX(B4_Life,1,2)/12,"SLO 不可達")</f>
        <v>12489664153.2899</v>
      </c>
      <c r="Q21" s="62" t="n">
        <f aca="false">IF(ISNUMBER(Fleet_1GW_Prod!Q24),Fleet_1GW_Prod!Q24*INDEX(B4_Life,1,2)/12,"SLO 不可達")</f>
        <v>12489664153.2899</v>
      </c>
      <c r="S21" s="62" t="n">
        <f aca="false">IF(ISNUMBER(Fleet_1GW_Prod!S24),Fleet_1GW_Prod!S24*INDEX(B4_Life,1,2)/12,"SLO 不可達")</f>
        <v>1963643572.11729</v>
      </c>
      <c r="T21" s="62" t="n">
        <f aca="false">IF(ISNUMBER(Fleet_1GW_Prod!T24),Fleet_1GW_Prod!T24*INDEX(B4_Life,1,2)/12,"SLO 不可達")</f>
        <v>1963643572.11729</v>
      </c>
      <c r="U21" s="62" t="n">
        <f aca="false">IF(ISNUMBER(Fleet_1GW_Prod!U24),Fleet_1GW_Prod!U24*INDEX(B4_Life,1,2)/12,"SLO 不可達")</f>
        <v>1963643572.11729</v>
      </c>
      <c r="V21" s="62" t="n">
        <f aca="false">IF(ISNUMBER(Fleet_1GW_Prod!V24),Fleet_1GW_Prod!V24*INDEX(B4_Life,1,2)/12,"SLO 不可達")</f>
        <v>4630331169.1609</v>
      </c>
      <c r="W21" s="62" t="n">
        <f aca="false">IF(ISNUMBER(Fleet_1GW_Prod!W24),Fleet_1GW_Prod!W24*INDEX(B4_Life,1,2)/12,"SLO 不可達")</f>
        <v>4630331169.1609</v>
      </c>
      <c r="X21" s="62" t="n">
        <f aca="false">IF(ISNUMBER(Fleet_1GW_Prod!X24),Fleet_1GW_Prod!X24*INDEX(B4_Life,1,2)/12,"SLO 不可達")</f>
        <v>4630331169.1609</v>
      </c>
      <c r="Y21" s="62" t="n">
        <f aca="false">IF(ISNUMBER(Fleet_1GW_Prod!Y24),Fleet_1GW_Prod!Y24*INDEX(B4_Life,1,2)/12,"SLO 不可達")</f>
        <v>6028205957.56624</v>
      </c>
      <c r="Z21" s="62" t="n">
        <f aca="false">IF(ISNUMBER(Fleet_1GW_Prod!Z24),Fleet_1GW_Prod!Z24*INDEX(B4_Life,1,2)/12,"SLO 不可達")</f>
        <v>6028205957.56624</v>
      </c>
      <c r="AA21" s="62" t="n">
        <f aca="false">IF(ISNUMBER(Fleet_1GW_Prod!AA24),Fleet_1GW_Prod!AA24*INDEX(B4_Life,1,2)/12,"SLO 不可達")</f>
        <v>6028205957.56624</v>
      </c>
      <c r="AB21" s="62" t="n">
        <f aca="false">IF(ISNUMBER(Fleet_1GW_Prod!AB24),Fleet_1GW_Prod!AB24*INDEX(B4_Life,1,2)/12,"SLO 不可達")</f>
        <v>11182709868.3772</v>
      </c>
      <c r="AC21" s="62" t="n">
        <f aca="false">IF(ISNUMBER(Fleet_1GW_Prod!AC24),Fleet_1GW_Prod!AC24*INDEX(B4_Life,1,2)/12,"SLO 不可達")</f>
        <v>11182709868.3772</v>
      </c>
      <c r="AD21" s="62" t="n">
        <f aca="false">IF(ISNUMBER(Fleet_1GW_Prod!AD24),Fleet_1GW_Prod!AD24*INDEX(B4_Life,1,2)/12,"SLO 不可達")</f>
        <v>11182709868.3772</v>
      </c>
      <c r="AE21" s="62" t="n">
        <f aca="false">IF(ISNUMBER(Fleet_1GW_Prod!AE24),Fleet_1GW_Prod!AE24*INDEX(B4_Life,1,2)/12,"SLO 不可達")</f>
        <v>15819767571.4152</v>
      </c>
      <c r="AF21" s="62" t="n">
        <f aca="false">IF(ISNUMBER(Fleet_1GW_Prod!AF24),Fleet_1GW_Prod!AF24*INDEX(B4_Life,1,2)/12,"SLO 不可達")</f>
        <v>15819767571.4152</v>
      </c>
      <c r="AG21" s="62" t="n">
        <f aca="false">IF(ISNUMBER(Fleet_1GW_Prod!AG24),Fleet_1GW_Prod!AG24*INDEX(B4_Life,1,2)/12,"SLO 不可達")</f>
        <v>15819767571.4152</v>
      </c>
    </row>
    <row r="22" customFormat="false" ht="15" hidden="false" customHeight="false" outlineLevel="0" collapsed="false">
      <c r="A22" s="60" t="s">
        <v>1790</v>
      </c>
      <c r="B22" s="58" t="s">
        <v>807</v>
      </c>
      <c r="C22" s="175" t="n">
        <f aca="false">IF(AND(ISNUMBER(Amortize_Prod!C21),ISNUMBER(Amortize_Prod!C19)),IF(Amortize_Prod!C21&gt;0,Amortize_Prod!C19*1000000/Amortize_Prod!C21,0),"SLO 不可達")</f>
        <v>0.139788193745351</v>
      </c>
      <c r="D22" s="175" t="n">
        <f aca="false">IF(AND(ISNUMBER(Amortize_Prod!D21),ISNUMBER(Amortize_Prod!D19)),IF(Amortize_Prod!D21&gt;0,Amortize_Prod!D19*1000000/Amortize_Prod!D21,0),"SLO 不可達")</f>
        <v>0.199729367549722</v>
      </c>
      <c r="E22" s="175" t="n">
        <f aca="false">IF(AND(ISNUMBER(Amortize_Prod!E21),ISNUMBER(Amortize_Prod!E19)),IF(Amortize_Prod!E21&gt;0,Amortize_Prod!E19*1000000/Amortize_Prod!E21,0),"SLO 不可達")</f>
        <v>0.343008785942739</v>
      </c>
      <c r="F22" s="175" t="n">
        <f aca="false">IF(AND(ISNUMBER(Amortize_Prod!F21),ISNUMBER(Amortize_Prod!F19)),IF(Amortize_Prod!F21&gt;0,Amortize_Prod!F19*1000000/Amortize_Prod!F21,0),"SLO 不可達")</f>
        <v>0.0226879100008897</v>
      </c>
      <c r="G22" s="175" t="n">
        <f aca="false">IF(AND(ISNUMBER(Amortize_Prod!G21),ISNUMBER(Amortize_Prod!G19)),IF(Amortize_Prod!G21&gt;0,Amortize_Prod!G19*1000000/Amortize_Prod!G21,0),"SLO 不可達")</f>
        <v>0.0302931323960357</v>
      </c>
      <c r="H22" s="175" t="n">
        <f aca="false">IF(AND(ISNUMBER(Amortize_Prod!H21),ISNUMBER(Amortize_Prod!H19)),IF(Amortize_Prod!H21&gt;0,Amortize_Prod!H19*1000000/Amortize_Prod!H21,0),"SLO 不可達")</f>
        <v>0.0491330255164712</v>
      </c>
      <c r="I22" s="175" t="n">
        <f aca="false">IF(AND(ISNUMBER(Amortize_Prod!I21),ISNUMBER(Amortize_Prod!I19)),IF(Amortize_Prod!I21&gt;0,Amortize_Prod!I19*1000000/Amortize_Prod!I21,0),"SLO 不可達")</f>
        <v>0.020668543621498</v>
      </c>
      <c r="J22" s="175" t="n">
        <f aca="false">IF(AND(ISNUMBER(Amortize_Prod!J21),ISNUMBER(Amortize_Prod!J19)),IF(Amortize_Prod!J21&gt;0,Amortize_Prod!J19*1000000/Amortize_Prod!J21,0),"SLO 不可達")</f>
        <v>0.0266946201932768</v>
      </c>
      <c r="K22" s="175" t="n">
        <f aca="false">IF(AND(ISNUMBER(Amortize_Prod!K21),ISNUMBER(Amortize_Prod!K19)),IF(Amortize_Prod!K21&gt;0,Amortize_Prod!K19*1000000/Amortize_Prod!K21,0),"SLO 不可達")</f>
        <v>0.0454488923899397</v>
      </c>
      <c r="L22" s="175" t="n">
        <f aca="false">IF(AND(ISNUMBER(Amortize_Prod!L21),ISNUMBER(Amortize_Prod!L19)),IF(Amortize_Prod!L21&gt;0,Amortize_Prod!L19*1000000/Amortize_Prod!L21,0),"SLO 不可達")</f>
        <v>0.00754581229489444</v>
      </c>
      <c r="M22" s="175" t="n">
        <f aca="false">IF(AND(ISNUMBER(Amortize_Prod!M21),ISNUMBER(Amortize_Prod!M19)),IF(Amortize_Prod!M21&gt;0,Amortize_Prod!M19*1000000/Amortize_Prod!M21,0),"SLO 不可達")</f>
        <v>0.00969831407029287</v>
      </c>
      <c r="N22" s="175" t="n">
        <f aca="false">IF(AND(ISNUMBER(Amortize_Prod!N21),ISNUMBER(Amortize_Prod!N19)),IF(Amortize_Prod!N21&gt;0,Amortize_Prod!N19*1000000/Amortize_Prod!N21,0),"SLO 不可達")</f>
        <v>0.0156679267045869</v>
      </c>
      <c r="O22" s="175" t="n">
        <f aca="false">IF(AND(ISNUMBER(Amortize_Prod!O21),ISNUMBER(Amortize_Prod!O19)),IF(Amortize_Prod!O21&gt;0,Amortize_Prod!O19*1000000/Amortize_Prod!O21,0),"SLO 不可達")</f>
        <v>0.00371557076377549</v>
      </c>
      <c r="P22" s="175" t="n">
        <f aca="false">IF(AND(ISNUMBER(Amortize_Prod!P21),ISNUMBER(Amortize_Prod!P19)),IF(Amortize_Prod!P21&gt;0,Amortize_Prod!P19*1000000/Amortize_Prod!P21,0),"SLO 不可達")</f>
        <v>0.00564715809677161</v>
      </c>
      <c r="Q22" s="175" t="n">
        <f aca="false">IF(AND(ISNUMBER(Amortize_Prod!Q21),ISNUMBER(Amortize_Prod!Q19)),IF(Amortize_Prod!Q21&gt;0,Amortize_Prod!Q19*1000000/Amortize_Prod!Q21,0),"SLO 不可達")</f>
        <v>0.0103091213249346</v>
      </c>
      <c r="S22" s="175" t="n">
        <f aca="false">IF(AND(ISNUMBER(Amortize_Prod!S21),ISNUMBER(Amortize_Prod!S19)),IF(Amortize_Prod!S21&gt;0,Amortize_Prod!S19*1000000/Amortize_Prod!S21,0),"SLO 不可達")</f>
        <v>0.0890793579453931</v>
      </c>
      <c r="T22" s="175" t="n">
        <f aca="false">IF(AND(ISNUMBER(Amortize_Prod!T21),ISNUMBER(Amortize_Prod!T19)),IF(Amortize_Prod!T21&gt;0,Amortize_Prod!T19*1000000/Amortize_Prod!T21,0),"SLO 不可達")</f>
        <v>0.127276584291371</v>
      </c>
      <c r="U22" s="175" t="n">
        <f aca="false">IF(AND(ISNUMBER(Amortize_Prod!U21),ISNUMBER(Amortize_Prod!U19)),IF(Amortize_Prod!U21&gt;0,Amortize_Prod!U19*1000000/Amortize_Prod!U21,0),"SLO 不可達")</f>
        <v>0.218580708447162</v>
      </c>
      <c r="V22" s="175" t="n">
        <f aca="false">IF(AND(ISNUMBER(Amortize_Prod!V21),ISNUMBER(Amortize_Prod!V19)),IF(Amortize_Prod!V21&gt;0,Amortize_Prod!V19*1000000/Amortize_Prod!V21,0),"SLO 不可達")</f>
        <v>0.0159893801066744</v>
      </c>
      <c r="W22" s="175" t="n">
        <f aca="false">IF(AND(ISNUMBER(Amortize_Prod!W21),ISNUMBER(Amortize_Prod!W19)),IF(Amortize_Prod!W21&gt;0,Amortize_Prod!W19*1000000/Amortize_Prod!W21,0),"SLO 不可達")</f>
        <v>0.0213491859092809</v>
      </c>
      <c r="X22" s="175" t="n">
        <f aca="false">IF(AND(ISNUMBER(Amortize_Prod!X21),ISNUMBER(Amortize_Prod!X19)),IF(Amortize_Prod!X21&gt;0,Amortize_Prod!X19*1000000/Amortize_Prod!X21,0),"SLO 不可達")</f>
        <v>0.0346266633084749</v>
      </c>
      <c r="Y22" s="175" t="n">
        <f aca="false">IF(AND(ISNUMBER(Amortize_Prod!Y21),ISNUMBER(Amortize_Prod!Y19)),IF(Amortize_Prod!Y21&gt;0,Amortize_Prod!Y19*1000000/Amortize_Prod!Y21,0),"SLO 不可達")</f>
        <v>0.0143002608542256</v>
      </c>
      <c r="Z22" s="175" t="n">
        <f aca="false">IF(AND(ISNUMBER(Amortize_Prod!Z21),ISNUMBER(Amortize_Prod!Z19)),IF(Amortize_Prod!Z21&gt;0,Amortize_Prod!Z19*1000000/Amortize_Prod!Z21,0),"SLO 不可達")</f>
        <v>0.018469614461431</v>
      </c>
      <c r="AA22" s="175" t="n">
        <f aca="false">IF(AND(ISNUMBER(Amortize_Prod!AA21),ISNUMBER(Amortize_Prod!AA19)),IF(Amortize_Prod!AA21&gt;0,Amortize_Prod!AA19*1000000/Amortize_Prod!AA21,0),"SLO 不可達")</f>
        <v>0.0314454191167951</v>
      </c>
      <c r="AB22" s="175" t="n">
        <f aca="false">IF(AND(ISNUMBER(Amortize_Prod!AB21),ISNUMBER(Amortize_Prod!AB19)),IF(Amortize_Prod!AB21&gt;0,Amortize_Prod!AB19*1000000/Amortize_Prod!AB21,0),"SLO 不可達")</f>
        <v>0.00546184221580753</v>
      </c>
      <c r="AC22" s="175" t="n">
        <f aca="false">IF(AND(ISNUMBER(Amortize_Prod!AC21),ISNUMBER(Amortize_Prod!AC19)),IF(Amortize_Prod!AC21&gt;0,Amortize_Prod!AC19*1000000/Amortize_Prod!AC21,0),"SLO 不可達")</f>
        <v>0.00701987528196614</v>
      </c>
      <c r="AD22" s="175" t="n">
        <f aca="false">IF(AND(ISNUMBER(Amortize_Prod!AD21),ISNUMBER(Amortize_Prod!AD19)),IF(Amortize_Prod!AD21&gt;0,Amortize_Prod!AD19*1000000/Amortize_Prod!AD21,0),"SLO 不可達")</f>
        <v>0.0113408258998428</v>
      </c>
      <c r="AE22" s="175" t="n">
        <f aca="false">IF(AND(ISNUMBER(Amortize_Prod!AE21),ISNUMBER(Amortize_Prod!AE19)),IF(Amortize_Prod!AE21&gt;0,Amortize_Prod!AE19*1000000/Amortize_Prod!AE21,0),"SLO 不可達")</f>
        <v>0.00275204867902514</v>
      </c>
      <c r="AF22" s="175" t="n">
        <f aca="false">IF(AND(ISNUMBER(Amortize_Prod!AF21),ISNUMBER(Amortize_Prod!AF19)),IF(Amortize_Prod!AF21&gt;0,Amortize_Prod!AF19*1000000/Amortize_Prod!AF21,0),"SLO 不可達")</f>
        <v>0.00418273664223652</v>
      </c>
      <c r="AG22" s="175" t="n">
        <f aca="false">IF(AND(ISNUMBER(Amortize_Prod!AG21),ISNUMBER(Amortize_Prod!AG19)),IF(Amortize_Prod!AG21&gt;0,Amortize_Prod!AG19*1000000/Amortize_Prod!AG21,0),"SLO 不可達")</f>
        <v>0.00763575922192034</v>
      </c>
    </row>
    <row r="23" customFormat="false" ht="15" hidden="false" customHeight="false" outlineLevel="0" collapsed="false">
      <c r="A23" s="60" t="s">
        <v>1787</v>
      </c>
      <c r="B23" s="58" t="s">
        <v>807</v>
      </c>
      <c r="C23" s="158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0.714336898863784</v>
      </c>
      <c r="D23" s="158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1.02063795298996</v>
      </c>
      <c r="E23" s="158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1.75279973933733</v>
      </c>
      <c r="F23" s="158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58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58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58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58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58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58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58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58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58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58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58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58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0.499286899028657</v>
      </c>
      <c r="T23" s="158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0.713374518877047</v>
      </c>
      <c r="U23" s="158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1.22511540932297</v>
      </c>
      <c r="V23" s="158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58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58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58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58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58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58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58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58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58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58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58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60" t="s">
        <v>1782</v>
      </c>
      <c r="B29" s="58" t="s">
        <v>877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496.148243569985</v>
      </c>
      <c r="G29" s="98" t="n">
        <f aca="false">INDEX(Interface_Prod!$C$78:$Q$78,1,Amortize!G$7)</f>
        <v>662.462273075692</v>
      </c>
      <c r="H29" s="98" t="n">
        <f aca="false">INDEX(Interface_Prod!$C$78:$Q$78,1,Amortize!H$7)</f>
        <v>1074.46055235235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465.455930936714</v>
      </c>
      <c r="W29" s="98" t="n">
        <f aca="false">INDEX(Interface_Prod!$S$78:$AG$78,1,Amortize!G$7)</f>
        <v>621.48157938889</v>
      </c>
      <c r="X29" s="98" t="n">
        <f aca="false">INDEX(Interface_Prod!$S$78:$AG$78,1,Amortize!H$7)</f>
        <v>1007.99316158296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0" t="s">
        <v>1784</v>
      </c>
      <c r="B31" s="58" t="s">
        <v>1785</v>
      </c>
      <c r="C31" s="62" t="str">
        <f aca="false">IF(ISNUMBER(Fleet_1GW_Prod!C27),Fleet_1GW_Prod!C27*INDEX(B4_Life,1,3)/12,"SLO 不可達")</f>
        <v>SLO 不可達</v>
      </c>
      <c r="D31" s="62" t="str">
        <f aca="false">IF(ISNUMBER(Fleet_1GW_Prod!D27),Fleet_1GW_Prod!D27*INDEX(B4_Life,1,3)/12,"SLO 不可達")</f>
        <v>SLO 不可達</v>
      </c>
      <c r="E31" s="62" t="str">
        <f aca="false">IF(ISNUMBER(Fleet_1GW_Prod!E27),Fleet_1GW_Prod!E27*INDEX(B4_Life,1,3)/12,"SLO 不可達")</f>
        <v>SLO 不可達</v>
      </c>
      <c r="F31" s="62" t="n">
        <f aca="false">IF(ISNUMBER(Fleet_1GW_Prod!F27),Fleet_1GW_Prod!F27*INDEX(B4_Life,1,3)/12,"SLO 不可達")</f>
        <v>877034733.0829</v>
      </c>
      <c r="G31" s="62" t="n">
        <f aca="false">IF(ISNUMBER(Fleet_1GW_Prod!G27),Fleet_1GW_Prod!G27*INDEX(B4_Life,1,3)/12,"SLO 不可達")</f>
        <v>877034733.0829</v>
      </c>
      <c r="H31" s="62" t="n">
        <f aca="false">IF(ISNUMBER(Fleet_1GW_Prod!H27),Fleet_1GW_Prod!H27*INDEX(B4_Life,1,3)/12,"SLO 不可達")</f>
        <v>877034733.0829</v>
      </c>
      <c r="I31" s="62" t="n">
        <f aca="false">IF(ISNUMBER(Fleet_1GW_Prod!I27),Fleet_1GW_Prod!I27*INDEX(B4_Life,1,3)/12,"SLO 不可達")</f>
        <v>1103523902.07994</v>
      </c>
      <c r="J31" s="62" t="n">
        <f aca="false">IF(ISNUMBER(Fleet_1GW_Prod!J27),Fleet_1GW_Prod!J27*INDEX(B4_Life,1,3)/12,"SLO 不可達")</f>
        <v>1103523902.07994</v>
      </c>
      <c r="K31" s="62" t="n">
        <f aca="false">IF(ISNUMBER(Fleet_1GW_Prod!K27),Fleet_1GW_Prod!K27*INDEX(B4_Life,1,3)/12,"SLO 不可達")</f>
        <v>1103523902.07994</v>
      </c>
      <c r="L31" s="62" t="n">
        <f aca="false">IF(ISNUMBER(Fleet_1GW_Prod!L27),Fleet_1GW_Prod!L27*INDEX(B4_Life,1,3)/12,"SLO 不可達")</f>
        <v>2186943452.38971</v>
      </c>
      <c r="M31" s="62" t="n">
        <f aca="false">IF(ISNUMBER(Fleet_1GW_Prod!M27),Fleet_1GW_Prod!M27*INDEX(B4_Life,1,3)/12,"SLO 不可達")</f>
        <v>2186943452.38971</v>
      </c>
      <c r="N31" s="62" t="n">
        <f aca="false">IF(ISNUMBER(Fleet_1GW_Prod!N27),Fleet_1GW_Prod!N27*INDEX(B4_Life,1,3)/12,"SLO 不可達")</f>
        <v>2186943452.38971</v>
      </c>
      <c r="O31" s="62" t="n">
        <f aca="false">IF(ISNUMBER(Fleet_1GW_Prod!O27),Fleet_1GW_Prod!O27*INDEX(B4_Life,1,3)/12,"SLO 不可達")</f>
        <v>3122416038.32247</v>
      </c>
      <c r="P31" s="62" t="n">
        <f aca="false">IF(ISNUMBER(Fleet_1GW_Prod!P27),Fleet_1GW_Prod!P27*INDEX(B4_Life,1,3)/12,"SLO 不可達")</f>
        <v>3122416038.32247</v>
      </c>
      <c r="Q31" s="62" t="n">
        <f aca="false">IF(ISNUMBER(Fleet_1GW_Prod!Q27),Fleet_1GW_Prod!Q27*INDEX(B4_Life,1,3)/12,"SLO 不可達")</f>
        <v>3122416038.32247</v>
      </c>
      <c r="S31" s="62" t="str">
        <f aca="false">IF(ISNUMBER(Fleet_1GW_Prod!S27),Fleet_1GW_Prod!S27*INDEX(B4_Life,1,3)/12,"SLO 不可達")</f>
        <v>SLO 不可達</v>
      </c>
      <c r="T31" s="62" t="str">
        <f aca="false">IF(ISNUMBER(Fleet_1GW_Prod!T27),Fleet_1GW_Prod!T27*INDEX(B4_Life,1,3)/12,"SLO 不可達")</f>
        <v>SLO 不可達</v>
      </c>
      <c r="U31" s="62" t="str">
        <f aca="false">IF(ISNUMBER(Fleet_1GW_Prod!U27),Fleet_1GW_Prod!U27*INDEX(B4_Life,1,3)/12,"SLO 不可達")</f>
        <v>SLO 不可達</v>
      </c>
      <c r="V31" s="62" t="n">
        <f aca="false">IF(ISNUMBER(Fleet_1GW_Prod!V27),Fleet_1GW_Prod!V27*INDEX(B4_Life,1,3)/12,"SLO 不可達")</f>
        <v>1157582792.29023</v>
      </c>
      <c r="W31" s="62" t="n">
        <f aca="false">IF(ISNUMBER(Fleet_1GW_Prod!W27),Fleet_1GW_Prod!W27*INDEX(B4_Life,1,3)/12,"SLO 不可達")</f>
        <v>1157582792.29023</v>
      </c>
      <c r="X31" s="62" t="n">
        <f aca="false">IF(ISNUMBER(Fleet_1GW_Prod!X27),Fleet_1GW_Prod!X27*INDEX(B4_Life,1,3)/12,"SLO 不可達")</f>
        <v>1157582792.29023</v>
      </c>
      <c r="Y31" s="62" t="n">
        <f aca="false">IF(ISNUMBER(Fleet_1GW_Prod!Y27),Fleet_1GW_Prod!Y27*INDEX(B4_Life,1,3)/12,"SLO 不可達")</f>
        <v>1507051489.39156</v>
      </c>
      <c r="Z31" s="62" t="n">
        <f aca="false">IF(ISNUMBER(Fleet_1GW_Prod!Z27),Fleet_1GW_Prod!Z27*INDEX(B4_Life,1,3)/12,"SLO 不可達")</f>
        <v>1507051489.39156</v>
      </c>
      <c r="AA31" s="62" t="n">
        <f aca="false">IF(ISNUMBER(Fleet_1GW_Prod!AA27),Fleet_1GW_Prod!AA27*INDEX(B4_Life,1,3)/12,"SLO 不可達")</f>
        <v>1507051489.39156</v>
      </c>
      <c r="AB31" s="62" t="n">
        <f aca="false">IF(ISNUMBER(Fleet_1GW_Prod!AB27),Fleet_1GW_Prod!AB27*INDEX(B4_Life,1,3)/12,"SLO 不可達")</f>
        <v>2795677467.0943</v>
      </c>
      <c r="AC31" s="62" t="n">
        <f aca="false">IF(ISNUMBER(Fleet_1GW_Prod!AC27),Fleet_1GW_Prod!AC27*INDEX(B4_Life,1,3)/12,"SLO 不可達")</f>
        <v>2795677467.0943</v>
      </c>
      <c r="AD31" s="62" t="n">
        <f aca="false">IF(ISNUMBER(Fleet_1GW_Prod!AD27),Fleet_1GW_Prod!AD27*INDEX(B4_Life,1,3)/12,"SLO 不可達")</f>
        <v>2795677467.0943</v>
      </c>
      <c r="AE31" s="62" t="n">
        <f aca="false">IF(ISNUMBER(Fleet_1GW_Prod!AE27),Fleet_1GW_Prod!AE27*INDEX(B4_Life,1,3)/12,"SLO 不可達")</f>
        <v>3954941892.8538</v>
      </c>
      <c r="AF31" s="62" t="n">
        <f aca="false">IF(ISNUMBER(Fleet_1GW_Prod!AF27),Fleet_1GW_Prod!AF27*INDEX(B4_Life,1,3)/12,"SLO 不可達")</f>
        <v>3954941892.8538</v>
      </c>
      <c r="AG31" s="62" t="n">
        <f aca="false">IF(ISNUMBER(Fleet_1GW_Prod!AG27),Fleet_1GW_Prod!AG27*INDEX(B4_Life,1,3)/12,"SLO 不可達")</f>
        <v>3954941892.8538</v>
      </c>
    </row>
    <row r="32" customFormat="false" ht="15" hidden="false" customHeight="false" outlineLevel="0" collapsed="false">
      <c r="A32" s="60" t="s">
        <v>1793</v>
      </c>
      <c r="B32" s="58" t="s">
        <v>807</v>
      </c>
      <c r="C32" s="175" t="str">
        <f aca="false">IF(AND(ISNUMBER(Amortize_Prod!C31),ISNUMBER(Amortize_Prod!C29)),IF(Amortize_Prod!C31&gt;0,Amortize_Prod!C29*1000000/Amortize_Prod!C31,0),"SLO 不可達")</f>
        <v>SLO 不可達</v>
      </c>
      <c r="D32" s="175" t="str">
        <f aca="false">IF(AND(ISNUMBER(Amortize_Prod!D31),ISNUMBER(Amortize_Prod!D29)),IF(Amortize_Prod!D31&gt;0,Amortize_Prod!D29*1000000/Amortize_Prod!D31,0),"SLO 不可達")</f>
        <v>SLO 不可達</v>
      </c>
      <c r="E32" s="175" t="str">
        <f aca="false">IF(AND(ISNUMBER(Amortize_Prod!E31),ISNUMBER(Amortize_Prod!E29)),IF(Amortize_Prod!E31&gt;0,Amortize_Prod!E29*1000000/Amortize_Prod!E31,0),"SLO 不可達")</f>
        <v>SLO 不可達</v>
      </c>
      <c r="F32" s="175" t="n">
        <f aca="false">IF(AND(ISNUMBER(Amortize_Prod!F31),ISNUMBER(Amortize_Prod!F29)),IF(Amortize_Prod!F31&gt;0,Amortize_Prod!F29*1000000/Amortize_Prod!F31,0),"SLO 不可達")</f>
        <v>0.565711054368342</v>
      </c>
      <c r="G32" s="175" t="n">
        <f aca="false">IF(AND(ISNUMBER(Amortize_Prod!G31),ISNUMBER(Amortize_Prod!G29)),IF(Amortize_Prod!G31&gt;0,Amortize_Prod!G29*1000000/Amortize_Prod!G31,0),"SLO 不可達")</f>
        <v>0.755343258467136</v>
      </c>
      <c r="H32" s="175" t="n">
        <f aca="false">IF(AND(ISNUMBER(Amortize_Prod!H31),ISNUMBER(Amortize_Prod!H29)),IF(Amortize_Prod!H31&gt;0,Amortize_Prod!H29*1000000/Amortize_Prod!H31,0),"SLO 不可達")</f>
        <v>1.22510604406222</v>
      </c>
      <c r="I32" s="175" t="n">
        <f aca="false">IF(AND(ISNUMBER(Amortize_Prod!I31),ISNUMBER(Amortize_Prod!I29)),IF(Amortize_Prod!I31&gt;0,Amortize_Prod!I29*1000000/Amortize_Prod!I31,0),"SLO 不可達")</f>
        <v>0.526392956847605</v>
      </c>
      <c r="J32" s="175" t="n">
        <f aca="false">IF(AND(ISNUMBER(Amortize_Prod!J31),ISNUMBER(Amortize_Prod!J29)),IF(Amortize_Prod!J31&gt;0,Amortize_Prod!J29*1000000/Amortize_Prod!J31,0),"SLO 不可達")</f>
        <v>0.679866966574605</v>
      </c>
      <c r="K32" s="175" t="n">
        <f aca="false">IF(AND(ISNUMBER(Amortize_Prod!K31),ISNUMBER(Amortize_Prod!K29)),IF(Amortize_Prod!K31&gt;0,Amortize_Prod!K29*1000000/Amortize_Prod!K31,0),"SLO 不可達")</f>
        <v>1.15750665788106</v>
      </c>
      <c r="L32" s="175" t="n">
        <f aca="false">IF(AND(ISNUMBER(Amortize_Prod!L31),ISNUMBER(Amortize_Prod!L29)),IF(Amortize_Prod!L31&gt;0,Amortize_Prod!L29*1000000/Amortize_Prod!L31,0),"SLO 不可達")</f>
        <v>0.186420637843686</v>
      </c>
      <c r="M32" s="175" t="n">
        <f aca="false">IF(AND(ISNUMBER(Amortize_Prod!M31),ISNUMBER(Amortize_Prod!M29)),IF(Amortize_Prod!M31&gt;0,Amortize_Prod!M29*1000000/Amortize_Prod!M31,0),"SLO 不可達")</f>
        <v>0.239598577904685</v>
      </c>
      <c r="N32" s="175" t="n">
        <f aca="false">IF(AND(ISNUMBER(Amortize_Prod!N31),ISNUMBER(Amortize_Prod!N29)),IF(Amortize_Prod!N31&gt;0,Amortize_Prod!N29*1000000/Amortize_Prod!N31,0),"SLO 不可達")</f>
        <v>0.387078922163684</v>
      </c>
      <c r="O32" s="175" t="n">
        <f aca="false">IF(AND(ISNUMBER(Amortize_Prod!O31),ISNUMBER(Amortize_Prod!O29)),IF(Amortize_Prod!O31&gt;0,Amortize_Prod!O29*1000000/Amortize_Prod!O31,0),"SLO 不可達")</f>
        <v>0.0931826562513697</v>
      </c>
      <c r="P32" s="175" t="n">
        <f aca="false">IF(AND(ISNUMBER(Amortize_Prod!P31),ISNUMBER(Amortize_Prod!P29)),IF(Amortize_Prod!P31&gt;0,Amortize_Prod!P29*1000000/Amortize_Prod!P31,0),"SLO 不可達")</f>
        <v>0.141624860669833</v>
      </c>
      <c r="Q32" s="175" t="n">
        <f aca="false">IF(AND(ISNUMBER(Amortize_Prod!Q31),ISNUMBER(Amortize_Prod!Q29)),IF(Amortize_Prod!Q31&gt;0,Amortize_Prod!Q29*1000000/Amortize_Prod!Q31,0),"SLO 不可達")</f>
        <v>0.258542057129044</v>
      </c>
      <c r="S32" s="175" t="str">
        <f aca="false">IF(AND(ISNUMBER(Amortize_Prod!S31),ISNUMBER(Amortize_Prod!S29)),IF(Amortize_Prod!S31&gt;0,Amortize_Prod!S29*1000000/Amortize_Prod!S31,0),"SLO 不可達")</f>
        <v>SLO 不可達</v>
      </c>
      <c r="T32" s="175" t="str">
        <f aca="false">IF(AND(ISNUMBER(Amortize_Prod!T31),ISNUMBER(Amortize_Prod!T29)),IF(Amortize_Prod!T31&gt;0,Amortize_Prod!T29*1000000/Amortize_Prod!T31,0),"SLO 不可達")</f>
        <v>SLO 不可達</v>
      </c>
      <c r="U32" s="175" t="str">
        <f aca="false">IF(AND(ISNUMBER(Amortize_Prod!U31),ISNUMBER(Amortize_Prod!U29)),IF(Amortize_Prod!U31&gt;0,Amortize_Prod!U29*1000000/Amortize_Prod!U31,0),"SLO 不可達")</f>
        <v>SLO 不可達</v>
      </c>
      <c r="V32" s="175" t="n">
        <f aca="false">IF(AND(ISNUMBER(Amortize_Prod!V31),ISNUMBER(Amortize_Prod!V29)),IF(Amortize_Prod!V31&gt;0,Amortize_Prod!V29*1000000/Amortize_Prod!V31,0),"SLO 不可達")</f>
        <v>0.402092994157101</v>
      </c>
      <c r="W32" s="175" t="n">
        <f aca="false">IF(AND(ISNUMBER(Amortize_Prod!W31),ISNUMBER(Amortize_Prod!W29)),IF(Amortize_Prod!W31&gt;0,Amortize_Prod!W29*1000000/Amortize_Prod!W31,0),"SLO 不可達")</f>
        <v>0.536878729995042</v>
      </c>
      <c r="X32" s="175" t="n">
        <f aca="false">IF(AND(ISNUMBER(Amortize_Prod!X31),ISNUMBER(Amortize_Prod!X29)),IF(Amortize_Prod!X31&gt;0,Amortize_Prod!X29*1000000/Amortize_Prod!X31,0),"SLO 不可達")</f>
        <v>0.870774140991408</v>
      </c>
      <c r="Y32" s="175" t="n">
        <f aca="false">IF(AND(ISNUMBER(Amortize_Prod!Y31),ISNUMBER(Amortize_Prod!Y29)),IF(Amortize_Prod!Y31&gt;0,Amortize_Prod!Y29*1000000/Amortize_Prod!Y31,0),"SLO 不可達")</f>
        <v>0.366823042465288</v>
      </c>
      <c r="Z32" s="175" t="n">
        <f aca="false">IF(AND(ISNUMBER(Amortize_Prod!Z31),ISNUMBER(Amortize_Prod!Z29)),IF(Amortize_Prod!Z31&gt;0,Amortize_Prod!Z29*1000000/Amortize_Prod!Z31,0),"SLO 不可達")</f>
        <v>0.473773187703846</v>
      </c>
      <c r="AA32" s="175" t="n">
        <f aca="false">IF(AND(ISNUMBER(Amortize_Prod!AA31),ISNUMBER(Amortize_Prod!AA29)),IF(Amortize_Prod!AA31&gt;0,Amortize_Prod!AA29*1000000/Amortize_Prod!AA31,0),"SLO 不可達")</f>
        <v>0.806621951138076</v>
      </c>
      <c r="AB32" s="175" t="n">
        <f aca="false">IF(AND(ISNUMBER(Amortize_Prod!AB31),ISNUMBER(Amortize_Prod!AB29)),IF(Amortize_Prod!AB31&gt;0,Amortize_Prod!AB29*1000000/Amortize_Prod!AB31,0),"SLO 不可達")</f>
        <v>0.136157625325142</v>
      </c>
      <c r="AC32" s="175" t="n">
        <f aca="false">IF(AND(ISNUMBER(Amortize_Prod!AC31),ISNUMBER(Amortize_Prod!AC29)),IF(Amortize_Prod!AC31&gt;0,Amortize_Prod!AC29*1000000/Amortize_Prod!AC31,0),"SLO 不可達")</f>
        <v>0.174997649273883</v>
      </c>
      <c r="AD32" s="175" t="n">
        <f aca="false">IF(AND(ISNUMBER(Amortize_Prod!AD31),ISNUMBER(Amortize_Prod!AD29)),IF(Amortize_Prod!AD31&gt;0,Amortize_Prod!AD29*1000000/Amortize_Prod!AD31,0),"SLO 不可達")</f>
        <v>0.282714121488067</v>
      </c>
      <c r="AE32" s="175" t="n">
        <f aca="false">IF(AND(ISNUMBER(Amortize_Prod!AE31),ISNUMBER(Amortize_Prod!AE29)),IF(Amortize_Prod!AE31&gt;0,Amortize_Prod!AE29*1000000/Amortize_Prod!AE31,0),"SLO 不可達")</f>
        <v>0.0696087421755187</v>
      </c>
      <c r="AF32" s="175" t="n">
        <f aca="false">IF(AND(ISNUMBER(Amortize_Prod!AF31),ISNUMBER(Amortize_Prod!AF29)),IF(Amortize_Prod!AF31&gt;0,Amortize_Prod!AF29*1000000/Amortize_Prod!AF31,0),"SLO 不可達")</f>
        <v>0.105795743635128</v>
      </c>
      <c r="AG32" s="175" t="n">
        <f aca="false">IF(AND(ISNUMBER(Amortize_Prod!AG31),ISNUMBER(Amortize_Prod!AG29)),IF(Amortize_Prod!AG31&gt;0,Amortize_Prod!AG29*1000000/Amortize_Prod!AG31,0),"SLO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60" t="s">
        <v>1787</v>
      </c>
      <c r="B33" s="58" t="s">
        <v>807</v>
      </c>
      <c r="C33" s="158" t="str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SLO 不可達</v>
      </c>
      <c r="D33" s="158" t="str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SLO 不可達</v>
      </c>
      <c r="E33" s="158" t="str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SLO 不可達</v>
      </c>
      <c r="F33" s="158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58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58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58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58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58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58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58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58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58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58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58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58" t="str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SLO 不可達</v>
      </c>
      <c r="T33" s="158" t="str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SLO 不可達</v>
      </c>
      <c r="U33" s="158" t="str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SLO 不可達</v>
      </c>
      <c r="V33" s="158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58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58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58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58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58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58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58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58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58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58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58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2387</v>
      </c>
    </row>
    <row r="2" customFormat="false" ht="15" hidden="false" customHeight="false" outlineLevel="0" collapsed="false">
      <c r="A2" s="73" t="s">
        <v>2388</v>
      </c>
    </row>
    <row r="3" customFormat="false" ht="15" hidden="false" customHeight="false" outlineLevel="0" collapsed="false">
      <c r="S3" s="59" t="s">
        <v>2360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89" t="n">
        <f aca="false">Theory_Rev!C6</f>
        <v>1</v>
      </c>
      <c r="D6" s="89" t="n">
        <f aca="false">Theory_Rev!D6</f>
        <v>1</v>
      </c>
      <c r="E6" s="89" t="n">
        <f aca="false">Theory_Rev!E6</f>
        <v>1</v>
      </c>
      <c r="F6" s="89" t="n">
        <f aca="false">Theory_Rev!F6</f>
        <v>2</v>
      </c>
      <c r="G6" s="89" t="n">
        <f aca="false">Theory_Rev!G6</f>
        <v>2</v>
      </c>
      <c r="H6" s="89" t="n">
        <f aca="false">Theory_Rev!H6</f>
        <v>2</v>
      </c>
      <c r="I6" s="89" t="n">
        <f aca="false">Theory_Rev!I6</f>
        <v>3</v>
      </c>
      <c r="J6" s="89" t="n">
        <f aca="false">Theory_Rev!J6</f>
        <v>3</v>
      </c>
      <c r="K6" s="89" t="n">
        <f aca="false">Theory_Rev!K6</f>
        <v>3</v>
      </c>
      <c r="L6" s="89" t="n">
        <f aca="false">Theory_Rev!L6</f>
        <v>4</v>
      </c>
      <c r="M6" s="89" t="n">
        <f aca="false">Theory_Rev!M6</f>
        <v>4</v>
      </c>
      <c r="N6" s="89" t="n">
        <f aca="false">Theory_Rev!N6</f>
        <v>4</v>
      </c>
      <c r="O6" s="89" t="n">
        <f aca="false">Theory_Rev!O6</f>
        <v>5</v>
      </c>
      <c r="P6" s="89" t="n">
        <f aca="false">Theory_Rev!P6</f>
        <v>5</v>
      </c>
      <c r="Q6" s="89" t="n">
        <f aca="false">Theory_Rev!Q6</f>
        <v>5</v>
      </c>
      <c r="S6" s="89" t="n">
        <f aca="false">Theory_Rev!C6</f>
        <v>1</v>
      </c>
      <c r="T6" s="89" t="n">
        <f aca="false">Theory_Rev!D6</f>
        <v>1</v>
      </c>
      <c r="U6" s="89" t="n">
        <f aca="false">Theory_Rev!E6</f>
        <v>1</v>
      </c>
      <c r="V6" s="89" t="n">
        <f aca="false">Theory_Rev!F6</f>
        <v>2</v>
      </c>
      <c r="W6" s="89" t="n">
        <f aca="false">Theory_Rev!G6</f>
        <v>2</v>
      </c>
      <c r="X6" s="89" t="n">
        <f aca="false">Theory_Rev!H6</f>
        <v>2</v>
      </c>
      <c r="Y6" s="89" t="n">
        <f aca="false">Theory_Rev!I6</f>
        <v>3</v>
      </c>
      <c r="Z6" s="89" t="n">
        <f aca="false">Theory_Rev!J6</f>
        <v>3</v>
      </c>
      <c r="AA6" s="89" t="n">
        <f aca="false">Theory_Rev!K6</f>
        <v>3</v>
      </c>
      <c r="AB6" s="89" t="n">
        <f aca="false">Theory_Rev!L6</f>
        <v>4</v>
      </c>
      <c r="AC6" s="89" t="n">
        <f aca="false">Theory_Rev!M6</f>
        <v>4</v>
      </c>
      <c r="AD6" s="89" t="n">
        <f aca="false">Theory_Rev!N6</f>
        <v>4</v>
      </c>
      <c r="AE6" s="89" t="n">
        <f aca="false">Theory_Rev!O6</f>
        <v>5</v>
      </c>
      <c r="AF6" s="89" t="n">
        <f aca="false">Theory_Rev!P6</f>
        <v>5</v>
      </c>
      <c r="AG6" s="89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89" t="n">
        <f aca="false">Theory_Rev!C7</f>
        <v>1</v>
      </c>
      <c r="D7" s="89" t="n">
        <f aca="false">Theory_Rev!D7</f>
        <v>2</v>
      </c>
      <c r="E7" s="89" t="n">
        <f aca="false">Theory_Rev!E7</f>
        <v>3</v>
      </c>
      <c r="F7" s="89" t="n">
        <f aca="false">Theory_Rev!F7</f>
        <v>4</v>
      </c>
      <c r="G7" s="89" t="n">
        <f aca="false">Theory_Rev!G7</f>
        <v>5</v>
      </c>
      <c r="H7" s="89" t="n">
        <f aca="false">Theory_Rev!H7</f>
        <v>6</v>
      </c>
      <c r="I7" s="89" t="n">
        <f aca="false">Theory_Rev!I7</f>
        <v>7</v>
      </c>
      <c r="J7" s="89" t="n">
        <f aca="false">Theory_Rev!J7</f>
        <v>8</v>
      </c>
      <c r="K7" s="89" t="n">
        <f aca="false">Theory_Rev!K7</f>
        <v>9</v>
      </c>
      <c r="L7" s="89" t="n">
        <f aca="false">Theory_Rev!L7</f>
        <v>10</v>
      </c>
      <c r="M7" s="89" t="n">
        <f aca="false">Theory_Rev!M7</f>
        <v>11</v>
      </c>
      <c r="N7" s="89" t="n">
        <f aca="false">Theory_Rev!N7</f>
        <v>12</v>
      </c>
      <c r="O7" s="89" t="n">
        <f aca="false">Theory_Rev!O7</f>
        <v>13</v>
      </c>
      <c r="P7" s="89" t="n">
        <f aca="false">Theory_Rev!P7</f>
        <v>14</v>
      </c>
      <c r="Q7" s="89" t="n">
        <f aca="false">Theory_Rev!Q7</f>
        <v>15</v>
      </c>
      <c r="S7" s="89" t="n">
        <f aca="false">Theory_Rev!C7</f>
        <v>1</v>
      </c>
      <c r="T7" s="89" t="n">
        <f aca="false">Theory_Rev!D7</f>
        <v>2</v>
      </c>
      <c r="U7" s="89" t="n">
        <f aca="false">Theory_Rev!E7</f>
        <v>3</v>
      </c>
      <c r="V7" s="89" t="n">
        <f aca="false">Theory_Rev!F7</f>
        <v>4</v>
      </c>
      <c r="W7" s="89" t="n">
        <f aca="false">Theory_Rev!G7</f>
        <v>5</v>
      </c>
      <c r="X7" s="89" t="n">
        <f aca="false">Theory_Rev!H7</f>
        <v>6</v>
      </c>
      <c r="Y7" s="89" t="n">
        <f aca="false">Theory_Rev!I7</f>
        <v>7</v>
      </c>
      <c r="Z7" s="89" t="n">
        <f aca="false">Theory_Rev!J7</f>
        <v>8</v>
      </c>
      <c r="AA7" s="89" t="n">
        <f aca="false">Theory_Rev!K7</f>
        <v>9</v>
      </c>
      <c r="AB7" s="89" t="n">
        <f aca="false">Theory_Rev!L7</f>
        <v>10</v>
      </c>
      <c r="AC7" s="89" t="n">
        <f aca="false">Theory_Rev!M7</f>
        <v>11</v>
      </c>
      <c r="AD7" s="89" t="n">
        <f aca="false">Theory_Rev!N7</f>
        <v>12</v>
      </c>
      <c r="AE7" s="89" t="n">
        <f aca="false">Theory_Rev!O7</f>
        <v>13</v>
      </c>
      <c r="AF7" s="89" t="n">
        <f aca="false">Theory_Rev!P7</f>
        <v>14</v>
      </c>
      <c r="AG7" s="89" t="n">
        <f aca="false">Theory_Rev!Q7</f>
        <v>15</v>
      </c>
    </row>
    <row r="10" customFormat="false" ht="15" hidden="false" customHeight="false" outlineLevel="0" collapsed="false">
      <c r="A10" s="60" t="s">
        <v>1812</v>
      </c>
      <c r="B10" s="58" t="s">
        <v>2362</v>
      </c>
      <c r="C10" s="62" t="n">
        <f aca="false">IF(ISNUMBER(INDEX(Interface_Prod!$C$21:$Q$21,1,Theory_Rev!C$7)),INDEX(Interface_Prod!$C$21:$Q$21,1,Theory_Rev!C$7)*IF_Util,INDEX(Interface_Prod!$C$21:$Q$21,1,Theory_Rev!C$7))</f>
        <v>25936151175.9654</v>
      </c>
      <c r="D10" s="62" t="n">
        <f aca="false">IF(ISNUMBER(INDEX(Interface_Prod!$C$21:$Q$21,1,Theory_Rev!D$7)),INDEX(Interface_Prod!$C$21:$Q$21,1,Theory_Rev!D$7)*IF_Util,INDEX(Interface_Prod!$C$21:$Q$21,1,Theory_Rev!D$7))</f>
        <v>25936151175.9654</v>
      </c>
      <c r="E10" s="62" t="n">
        <f aca="false">IF(ISNUMBER(INDEX(Interface_Prod!$C$21:$Q$21,1,Theory_Rev!E$7)),INDEX(Interface_Prod!$C$21:$Q$21,1,Theory_Rev!E$7)*IF_Util,INDEX(Interface_Prod!$C$21:$Q$21,1,Theory_Rev!E$7))</f>
        <v>25936151175.9654</v>
      </c>
      <c r="F10" s="62" t="n">
        <f aca="false">IF(ISNUMBER(INDEX(Interface_Prod!$C$21:$Q$21,1,Theory_Rev!F$7)),INDEX(Interface_Prod!$C$21:$Q$21,1,Theory_Rev!F$7)*IF_Util,INDEX(Interface_Prod!$C$21:$Q$21,1,Theory_Rev!F$7))</f>
        <v>169939535002.135</v>
      </c>
      <c r="G10" s="62" t="n">
        <f aca="false">IF(ISNUMBER(INDEX(Interface_Prod!$C$21:$Q$21,1,Theory_Rev!G$7)),INDEX(Interface_Prod!$C$21:$Q$21,1,Theory_Rev!G$7)*IF_Util,INDEX(Interface_Prod!$C$21:$Q$21,1,Theory_Rev!G$7))</f>
        <v>169939535002.135</v>
      </c>
      <c r="H10" s="62" t="n">
        <f aca="false">IF(ISNUMBER(INDEX(Interface_Prod!$C$21:$Q$21,1,Theory_Rev!H$7)),INDEX(Interface_Prod!$C$21:$Q$21,1,Theory_Rev!H$7)*IF_Util,INDEX(Interface_Prod!$C$21:$Q$21,1,Theory_Rev!H$7))</f>
        <v>169939535002.135</v>
      </c>
      <c r="I10" s="62" t="n">
        <f aca="false">IF(ISNUMBER(INDEX(Interface_Prod!$C$21:$Q$21,1,Theory_Rev!I$7)),INDEX(Interface_Prod!$C$21:$Q$21,1,Theory_Rev!I$7)*IF_Util,INDEX(Interface_Prod!$C$21:$Q$21,1,Theory_Rev!I$7))</f>
        <v>247410894264.839</v>
      </c>
      <c r="J10" s="62" t="n">
        <f aca="false">IF(ISNUMBER(INDEX(Interface_Prod!$C$21:$Q$21,1,Theory_Rev!J$7)),INDEX(Interface_Prod!$C$21:$Q$21,1,Theory_Rev!J$7)*IF_Util,INDEX(Interface_Prod!$C$21:$Q$21,1,Theory_Rev!J$7))</f>
        <v>247410894264.839</v>
      </c>
      <c r="K10" s="62" t="n">
        <f aca="false">IF(ISNUMBER(INDEX(Interface_Prod!$C$21:$Q$21,1,Theory_Rev!K$7)),INDEX(Interface_Prod!$C$21:$Q$21,1,Theory_Rev!K$7)*IF_Util,INDEX(Interface_Prod!$C$21:$Q$21,1,Theory_Rev!K$7))</f>
        <v>247410894264.839</v>
      </c>
      <c r="L10" s="62" t="n">
        <f aca="false">IF(ISNUMBER(INDEX(Interface_Prod!$C$21:$Q$21,1,Theory_Rev!L$7)),INDEX(Interface_Prod!$C$21:$Q$21,1,Theory_Rev!L$7)*IF_Util,INDEX(Interface_Prod!$C$21:$Q$21,1,Theory_Rev!L$7))</f>
        <v>364947447719.714</v>
      </c>
      <c r="M10" s="62" t="n">
        <f aca="false">IF(ISNUMBER(INDEX(Interface_Prod!$C$21:$Q$21,1,Theory_Rev!M$7)),INDEX(Interface_Prod!$C$21:$Q$21,1,Theory_Rev!M$7)*IF_Util,INDEX(Interface_Prod!$C$21:$Q$21,1,Theory_Rev!M$7))</f>
        <v>364947447719.714</v>
      </c>
      <c r="N10" s="62" t="n">
        <f aca="false">IF(ISNUMBER(INDEX(Interface_Prod!$C$21:$Q$21,1,Theory_Rev!N$7)),INDEX(Interface_Prod!$C$21:$Q$21,1,Theory_Rev!N$7)*IF_Util,INDEX(Interface_Prod!$C$21:$Q$21,1,Theory_Rev!N$7))</f>
        <v>364947447719.714</v>
      </c>
      <c r="O10" s="62" t="n">
        <f aca="false">IF(ISNUMBER(INDEX(Interface_Prod!$C$21:$Q$21,1,Theory_Rev!O$7)),INDEX(Interface_Prod!$C$21:$Q$21,1,Theory_Rev!O$7)*IF_Util,INDEX(Interface_Prod!$C$21:$Q$21,1,Theory_Rev!O$7))</f>
        <v>494044742874.106</v>
      </c>
      <c r="P10" s="62" t="n">
        <f aca="false">IF(ISNUMBER(INDEX(Interface_Prod!$C$21:$Q$21,1,Theory_Rev!P$7)),INDEX(Interface_Prod!$C$21:$Q$21,1,Theory_Rev!P$7)*IF_Util,INDEX(Interface_Prod!$C$21:$Q$21,1,Theory_Rev!P$7))</f>
        <v>494044742874.106</v>
      </c>
      <c r="Q10" s="62" t="n">
        <f aca="false">IF(ISNUMBER(INDEX(Interface_Prod!$C$21:$Q$21,1,Theory_Rev!Q$7)),INDEX(Interface_Prod!$C$21:$Q$21,1,Theory_Rev!Q$7)*IF_Util,INDEX(Interface_Prod!$C$21:$Q$21,1,Theory_Rev!Q$7))</f>
        <v>494044742874.106</v>
      </c>
      <c r="S10" s="62" t="n">
        <f aca="false">IF(ISNUMBER(INDEX(Interface_Prod!$S$21:$AG$21,1,Theory_Rev!C$7)),INDEX(Interface_Prod!$S$21:$AG$21,1,Theory_Rev!C$7)*IF_Util,INDEX(Interface_Prod!$S$21:$AG$21,1,Theory_Rev!C$7))</f>
        <v>38434235664.8891</v>
      </c>
      <c r="T10" s="62" t="n">
        <f aca="false">IF(ISNUMBER(INDEX(Interface_Prod!$S$21:$AG$21,1,Theory_Rev!D$7)),INDEX(Interface_Prod!$S$21:$AG$21,1,Theory_Rev!D$7)*IF_Util,INDEX(Interface_Prod!$S$21:$AG$21,1,Theory_Rev!D$7))</f>
        <v>38434235664.8891</v>
      </c>
      <c r="U10" s="62" t="n">
        <f aca="false">IF(ISNUMBER(INDEX(Interface_Prod!$S$21:$AG$21,1,Theory_Rev!E$7)),INDEX(Interface_Prod!$S$21:$AG$21,1,Theory_Rev!E$7)*IF_Util,INDEX(Interface_Prod!$S$21:$AG$21,1,Theory_Rev!E$7))</f>
        <v>38434235664.8891</v>
      </c>
      <c r="V10" s="62" t="n">
        <f aca="false">IF(ISNUMBER(INDEX(Interface_Prod!$S$21:$AG$21,1,Theory_Rev!F$7)),INDEX(Interface_Prod!$S$21:$AG$21,1,Theory_Rev!F$7)*IF_Util,INDEX(Interface_Prod!$S$21:$AG$21,1,Theory_Rev!F$7))</f>
        <v>217384136451.368</v>
      </c>
      <c r="W10" s="62" t="n">
        <f aca="false">IF(ISNUMBER(INDEX(Interface_Prod!$S$21:$AG$21,1,Theory_Rev!G$7)),INDEX(Interface_Prod!$S$21:$AG$21,1,Theory_Rev!G$7)*IF_Util,INDEX(Interface_Prod!$S$21:$AG$21,1,Theory_Rev!G$7))</f>
        <v>217384136451.368</v>
      </c>
      <c r="X10" s="62" t="n">
        <f aca="false">IF(ISNUMBER(INDEX(Interface_Prod!$S$21:$AG$21,1,Theory_Rev!H$7)),INDEX(Interface_Prod!$S$21:$AG$21,1,Theory_Rev!H$7)*IF_Util,INDEX(Interface_Prod!$S$21:$AG$21,1,Theory_Rev!H$7))</f>
        <v>217384136451.368</v>
      </c>
      <c r="Y10" s="62" t="n">
        <f aca="false">IF(ISNUMBER(INDEX(Interface_Prod!$S$21:$AG$21,1,Theory_Rev!I$7)),INDEX(Interface_Prod!$S$21:$AG$21,1,Theory_Rev!I$7)*IF_Util,INDEX(Interface_Prod!$S$21:$AG$21,1,Theory_Rev!I$7))</f>
        <v>316484351906.383</v>
      </c>
      <c r="Z10" s="62" t="n">
        <f aca="false">IF(ISNUMBER(INDEX(Interface_Prod!$S$21:$AG$21,1,Theory_Rev!J$7)),INDEX(Interface_Prod!$S$21:$AG$21,1,Theory_Rev!J$7)*IF_Util,INDEX(Interface_Prod!$S$21:$AG$21,1,Theory_Rev!J$7))</f>
        <v>316484351906.383</v>
      </c>
      <c r="AA10" s="62" t="n">
        <f aca="false">IF(ISNUMBER(INDEX(Interface_Prod!$S$21:$AG$21,1,Theory_Rev!K$7)),INDEX(Interface_Prod!$S$21:$AG$21,1,Theory_Rev!K$7)*IF_Util,INDEX(Interface_Prod!$S$21:$AG$21,1,Theory_Rev!K$7))</f>
        <v>316484351906.383</v>
      </c>
      <c r="AB10" s="62" t="n">
        <f aca="false">IF(ISNUMBER(INDEX(Interface_Prod!$S$21:$AG$21,1,Theory_Rev!L$7)),INDEX(Interface_Prod!$S$21:$AG$21,1,Theory_Rev!L$7)*IF_Util,INDEX(Interface_Prod!$S$21:$AG$21,1,Theory_Rev!L$7))</f>
        <v>463667040596.067</v>
      </c>
      <c r="AC10" s="62" t="n">
        <f aca="false">IF(ISNUMBER(INDEX(Interface_Prod!$S$21:$AG$21,1,Theory_Rev!M$7)),INDEX(Interface_Prod!$S$21:$AG$21,1,Theory_Rev!M$7)*IF_Util,INDEX(Interface_Prod!$S$21:$AG$21,1,Theory_Rev!M$7))</f>
        <v>463667040596.067</v>
      </c>
      <c r="AD10" s="62" t="n">
        <f aca="false">IF(ISNUMBER(INDEX(Interface_Prod!$S$21:$AG$21,1,Theory_Rev!N$7)),INDEX(Interface_Prod!$S$21:$AG$21,1,Theory_Rev!N$7)*IF_Util,INDEX(Interface_Prod!$S$21:$AG$21,1,Theory_Rev!N$7))</f>
        <v>463667040596.067</v>
      </c>
      <c r="AE10" s="62" t="n">
        <f aca="false">IF(ISNUMBER(INDEX(Interface_Prod!$S$21:$AG$21,1,Theory_Rev!O$7)),INDEX(Interface_Prod!$S$21:$AG$21,1,Theory_Rev!O$7)*IF_Util,INDEX(Interface_Prod!$S$21:$AG$21,1,Theory_Rev!O$7))</f>
        <v>626624227834.433</v>
      </c>
      <c r="AF10" s="62" t="n">
        <f aca="false">IF(ISNUMBER(INDEX(Interface_Prod!$S$21:$AG$21,1,Theory_Rev!P$7)),INDEX(Interface_Prod!$S$21:$AG$21,1,Theory_Rev!P$7)*IF_Util,INDEX(Interface_Prod!$S$21:$AG$21,1,Theory_Rev!P$7))</f>
        <v>626624227834.433</v>
      </c>
      <c r="AG10" s="62" t="n">
        <f aca="false">IF(ISNUMBER(INDEX(Interface_Prod!$S$21:$AG$21,1,Theory_Rev!Q$7)),INDEX(Interface_Prod!$S$21:$AG$21,1,Theory_Rev!Q$7)*IF_Util,INDEX(Interface_Prod!$S$21:$AG$21,1,Theory_Rev!Q$7))</f>
        <v>626624227834.433</v>
      </c>
    </row>
    <row r="11" customFormat="false" ht="15" hidden="false" customHeight="false" outlineLevel="0" collapsed="false">
      <c r="A11" s="60" t="s">
        <v>1813</v>
      </c>
      <c r="B11" s="58" t="s">
        <v>2389</v>
      </c>
      <c r="C11" s="162" t="n">
        <f aca="false">IF(ISNUMBER(Theory_Rev_Prod!C10),Theory_Rev_Prod!C10*INDEX(B4_EffRef,1,1)/1000000000,Theory_Rev_Prod!C10)</f>
        <v>2.08411383671757</v>
      </c>
      <c r="D11" s="162" t="n">
        <f aca="false">IF(ISNUMBER(Theory_Rev_Prod!D10),Theory_Rev_Prod!D10*INDEX(B4_EffRef,1,1)/1000000000,Theory_Rev_Prod!D10)</f>
        <v>2.08411383671757</v>
      </c>
      <c r="E11" s="162" t="n">
        <f aca="false">IF(ISNUMBER(Theory_Rev_Prod!E10),Theory_Rev_Prod!E10*INDEX(B4_EffRef,1,1)/1000000000,Theory_Rev_Prod!E10)</f>
        <v>2.08411383671757</v>
      </c>
      <c r="F11" s="162" t="n">
        <f aca="false">IF(ISNUMBER(Theory_Rev_Prod!F10),Theory_Rev_Prod!F10*INDEX(B4_EffRef,1,1)/1000000000,Theory_Rev_Prod!F10)</f>
        <v>13.6555857459493</v>
      </c>
      <c r="G11" s="162" t="n">
        <f aca="false">IF(ISNUMBER(Theory_Rev_Prod!G10),Theory_Rev_Prod!G10*INDEX(B4_EffRef,1,1)/1000000000,Theory_Rev_Prod!G10)</f>
        <v>13.6555857459493</v>
      </c>
      <c r="H11" s="162" t="n">
        <f aca="false">IF(ISNUMBER(Theory_Rev_Prod!H10),Theory_Rev_Prod!H10*INDEX(B4_EffRef,1,1)/1000000000,Theory_Rev_Prod!H10)</f>
        <v>13.6555857459493</v>
      </c>
      <c r="I11" s="162" t="n">
        <f aca="false">IF(ISNUMBER(Theory_Rev_Prod!I10),Theory_Rev_Prod!I10*INDEX(B4_EffRef,1,1)/1000000000,Theory_Rev_Prod!I10)</f>
        <v>19.8808398591479</v>
      </c>
      <c r="J11" s="162" t="n">
        <f aca="false">IF(ISNUMBER(Theory_Rev_Prod!J10),Theory_Rev_Prod!J10*INDEX(B4_EffRef,1,1)/1000000000,Theory_Rev_Prod!J10)</f>
        <v>19.8808398591479</v>
      </c>
      <c r="K11" s="162" t="n">
        <f aca="false">IF(ISNUMBER(Theory_Rev_Prod!K10),Theory_Rev_Prod!K10*INDEX(B4_EffRef,1,1)/1000000000,Theory_Rev_Prod!K10)</f>
        <v>19.8808398591479</v>
      </c>
      <c r="L11" s="162" t="n">
        <f aca="false">IF(ISNUMBER(Theory_Rev_Prod!L10),Theory_Rev_Prod!L10*INDEX(B4_EffRef,1,1)/1000000000,Theory_Rev_Prod!L10)</f>
        <v>29.3255549100997</v>
      </c>
      <c r="M11" s="162" t="n">
        <f aca="false">IF(ISNUMBER(Theory_Rev_Prod!M10),Theory_Rev_Prod!M10*INDEX(B4_EffRef,1,1)/1000000000,Theory_Rev_Prod!M10)</f>
        <v>29.3255549100997</v>
      </c>
      <c r="N11" s="162" t="n">
        <f aca="false">IF(ISNUMBER(Theory_Rev_Prod!N10),Theory_Rev_Prod!N10*INDEX(B4_EffRef,1,1)/1000000000,Theory_Rev_Prod!N10)</f>
        <v>29.3255549100997</v>
      </c>
      <c r="O11" s="162" t="n">
        <f aca="false">IF(ISNUMBER(Theory_Rev_Prod!O10),Theory_Rev_Prod!O10*INDEX(B4_EffRef,1,1)/1000000000,Theory_Rev_Prod!O10)</f>
        <v>39.6992397829504</v>
      </c>
      <c r="P11" s="162" t="n">
        <f aca="false">IF(ISNUMBER(Theory_Rev_Prod!P10),Theory_Rev_Prod!P10*INDEX(B4_EffRef,1,1)/1000000000,Theory_Rev_Prod!P10)</f>
        <v>39.6992397829504</v>
      </c>
      <c r="Q11" s="162" t="n">
        <f aca="false">IF(ISNUMBER(Theory_Rev_Prod!Q10),Theory_Rev_Prod!Q10*INDEX(B4_EffRef,1,1)/1000000000,Theory_Rev_Prod!Q10)</f>
        <v>39.6992397829504</v>
      </c>
      <c r="S11" s="162" t="n">
        <f aca="false">IF(ISNUMBER(Theory_Rev_Prod!S10),Theory_Rev_Prod!S10*INDEX(B4_EffRef,1,1)/1000000000,Theory_Rev_Prod!S10)</f>
        <v>3.08840435920531</v>
      </c>
      <c r="T11" s="162" t="n">
        <f aca="false">IF(ISNUMBER(Theory_Rev_Prod!T10),Theory_Rev_Prod!T10*INDEX(B4_EffRef,1,1)/1000000000,Theory_Rev_Prod!T10)</f>
        <v>3.08840435920531</v>
      </c>
      <c r="U11" s="162" t="n">
        <f aca="false">IF(ISNUMBER(Theory_Rev_Prod!U10),Theory_Rev_Prod!U10*INDEX(B4_EffRef,1,1)/1000000000,Theory_Rev_Prod!U10)</f>
        <v>3.08840435920531</v>
      </c>
      <c r="V11" s="162" t="n">
        <f aca="false">IF(ISNUMBER(Theory_Rev_Prod!V10),Theory_Rev_Prod!V10*INDEX(B4_EffRef,1,1)/1000000000,Theory_Rev_Prod!V10)</f>
        <v>17.4680230535144</v>
      </c>
      <c r="W11" s="162" t="n">
        <f aca="false">IF(ISNUMBER(Theory_Rev_Prod!W10),Theory_Rev_Prod!W10*INDEX(B4_EffRef,1,1)/1000000000,Theory_Rev_Prod!W10)</f>
        <v>17.4680230535144</v>
      </c>
      <c r="X11" s="162" t="n">
        <f aca="false">IF(ISNUMBER(Theory_Rev_Prod!X10),Theory_Rev_Prod!X10*INDEX(B4_EffRef,1,1)/1000000000,Theory_Rev_Prod!X10)</f>
        <v>17.4680230535144</v>
      </c>
      <c r="Y11" s="162" t="n">
        <f aca="false">IF(ISNUMBER(Theory_Rev_Prod!Y10),Theory_Rev_Prod!Y10*INDEX(B4_EffRef,1,1)/1000000000,Theory_Rev_Prod!Y10)</f>
        <v>25.4312759220773</v>
      </c>
      <c r="Z11" s="162" t="n">
        <f aca="false">IF(ISNUMBER(Theory_Rev_Prod!Z10),Theory_Rev_Prod!Z10*INDEX(B4_EffRef,1,1)/1000000000,Theory_Rev_Prod!Z10)</f>
        <v>25.4312759220773</v>
      </c>
      <c r="AA11" s="162" t="n">
        <f aca="false">IF(ISNUMBER(Theory_Rev_Prod!AA10),Theory_Rev_Prod!AA10*INDEX(B4_EffRef,1,1)/1000000000,Theory_Rev_Prod!AA10)</f>
        <v>25.4312759220773</v>
      </c>
      <c r="AB11" s="162" t="n">
        <f aca="false">IF(ISNUMBER(Theory_Rev_Prod!AB10),Theory_Rev_Prod!AB10*INDEX(B4_EffRef,1,1)/1000000000,Theory_Rev_Prod!AB10)</f>
        <v>37.2582226398973</v>
      </c>
      <c r="AC11" s="162" t="n">
        <f aca="false">IF(ISNUMBER(Theory_Rev_Prod!AC10),Theory_Rev_Prod!AC10*INDEX(B4_EffRef,1,1)/1000000000,Theory_Rev_Prod!AC10)</f>
        <v>37.2582226398973</v>
      </c>
      <c r="AD11" s="162" t="n">
        <f aca="false">IF(ISNUMBER(Theory_Rev_Prod!AD10),Theory_Rev_Prod!AD10*INDEX(B4_EffRef,1,1)/1000000000,Theory_Rev_Prod!AD10)</f>
        <v>37.2582226398973</v>
      </c>
      <c r="AE11" s="162" t="n">
        <f aca="false">IF(ISNUMBER(Theory_Rev_Prod!AE10),Theory_Rev_Prod!AE10*INDEX(B4_EffRef,1,1)/1000000000,Theory_Rev_Prod!AE10)</f>
        <v>50.3527379522069</v>
      </c>
      <c r="AF11" s="162" t="n">
        <f aca="false">IF(ISNUMBER(Theory_Rev_Prod!AF10),Theory_Rev_Prod!AF10*INDEX(B4_EffRef,1,1)/1000000000,Theory_Rev_Prod!AF10)</f>
        <v>50.3527379522069</v>
      </c>
      <c r="AG11" s="162" t="n">
        <f aca="false">IF(ISNUMBER(Theory_Rev_Prod!AG10),Theory_Rev_Prod!AG10*INDEX(B4_EffRef,1,1)/1000000000,Theory_Rev_Prod!AG10)</f>
        <v>50.3527379522069</v>
      </c>
    </row>
    <row r="17" customFormat="false" ht="15" hidden="false" customHeight="false" outlineLevel="0" collapsed="false">
      <c r="A17" s="60" t="s">
        <v>1820</v>
      </c>
      <c r="B17" s="58" t="s">
        <v>807</v>
      </c>
      <c r="C17" s="158" t="n">
        <f aca="false">Amortize_Prod!C14</f>
        <v>0.224784037413647</v>
      </c>
      <c r="D17" s="158" t="n">
        <f aca="false">Amortize_Prod!D14</f>
        <v>0.321166781809049</v>
      </c>
      <c r="E17" s="158" t="n">
        <f aca="false">Amortize_Prod!E14</f>
        <v>0.551553720929835</v>
      </c>
      <c r="F17" s="158" t="n">
        <f aca="false">Amortize_Prod!F14</f>
        <v>0.0338189655046863</v>
      </c>
      <c r="G17" s="158" t="n">
        <f aca="false">Amortize_Prod!G14</f>
        <v>0.0451518018428237</v>
      </c>
      <c r="H17" s="158" t="n">
        <f aca="false">Amortize_Prod!H14</f>
        <v>0.0732258559951609</v>
      </c>
      <c r="I17" s="158" t="n">
        <f aca="false">Amortize_Prod!I14</f>
        <v>0.0296187586934242</v>
      </c>
      <c r="J17" s="158" t="n">
        <f aca="false">Amortize_Prod!J14</f>
        <v>0.0382511826386745</v>
      </c>
      <c r="K17" s="158" t="n">
        <f aca="false">Amortize_Prod!K14</f>
        <v>0.0651168930985114</v>
      </c>
      <c r="L17" s="158" t="n">
        <f aca="false">Amortize_Prod!L14</f>
        <v>0.022487341757189</v>
      </c>
      <c r="M17" s="158" t="n">
        <f aca="false">Amortize_Prod!M14</f>
        <v>0.0288989412468376</v>
      </c>
      <c r="N17" s="158" t="n">
        <f aca="false">Amortize_Prod!N14</f>
        <v>0.0466804667985899</v>
      </c>
      <c r="O17" s="158" t="n">
        <f aca="false">Amortize_Prod!O14</f>
        <v>0.0176242505638179</v>
      </c>
      <c r="P17" s="158" t="n">
        <f aca="false">Amortize_Prod!P14</f>
        <v>0.0267808129187387</v>
      </c>
      <c r="Q17" s="158" t="n">
        <f aca="false">Amortize_Prod!Q14</f>
        <v>0.0488805421237386</v>
      </c>
      <c r="S17" s="158" t="n">
        <f aca="false">Amortize_Prod!S14</f>
        <v>0.145199997861622</v>
      </c>
      <c r="T17" s="158" t="n">
        <f aca="false">Amortize_Prod!T14</f>
        <v>0.207457108188586</v>
      </c>
      <c r="U17" s="158" t="n">
        <f aca="false">Amortize_Prod!U14</f>
        <v>0.356272388109361</v>
      </c>
      <c r="V17" s="158" t="n">
        <f aca="false">Amortize_Prod!V14</f>
        <v>0.0260936867672857</v>
      </c>
      <c r="W17" s="158" t="n">
        <f aca="false">Amortize_Prod!W14</f>
        <v>0.0348369296673268</v>
      </c>
      <c r="X17" s="158" t="n">
        <f aca="false">Amortize_Prod!X14</f>
        <v>0.0564959625271565</v>
      </c>
      <c r="Y17" s="158" t="n">
        <f aca="false">Amortize_Prod!Y14</f>
        <v>0.0228541941694006</v>
      </c>
      <c r="Z17" s="158" t="n">
        <f aca="false">Amortize_Prod!Z14</f>
        <v>0.0295143560848238</v>
      </c>
      <c r="AA17" s="158" t="n">
        <f aca="false">Amortize_Prod!AA14</f>
        <v>0.0502420199217979</v>
      </c>
      <c r="AB17" s="158" t="n">
        <f aca="false">Amortize_Prod!AB14</f>
        <v>0.0174796823282432</v>
      </c>
      <c r="AC17" s="158" t="n">
        <f aca="false">Amortize_Prod!AC14</f>
        <v>0.0224628079319604</v>
      </c>
      <c r="AD17" s="158" t="n">
        <f aca="false">Amortize_Prod!AD14</f>
        <v>0.0362826941230965</v>
      </c>
      <c r="AE17" s="158" t="n">
        <f aca="false">Amortize_Prod!AE14</f>
        <v>0.0137286838275377</v>
      </c>
      <c r="AF17" s="158" t="n">
        <f aca="false">Amortize_Prod!AF14</f>
        <v>0.020860085624086</v>
      </c>
      <c r="AG17" s="158" t="n">
        <f aca="false">Amortize_Prod!AG14</f>
        <v>0.0380720088816252</v>
      </c>
    </row>
    <row r="18" customFormat="false" ht="15" hidden="false" customHeight="false" outlineLevel="0" collapsed="false">
      <c r="A18" s="60" t="s">
        <v>1821</v>
      </c>
      <c r="B18" s="58" t="s">
        <v>807</v>
      </c>
      <c r="C18" s="159" t="n">
        <f aca="false">IF(AND(ISNUMBER(Theory_Rev_Prod!C17),ISNUMBER(Amortize_Prod!C13)),Theory_Rev_Prod!C17+Amortize_Prod!C13,"SLO 不可達")</f>
        <v>0.282706817888634</v>
      </c>
      <c r="D18" s="159" t="n">
        <f aca="false">IF(AND(ISNUMBER(Theory_Rev_Prod!D17),ISNUMBER(Amortize_Prod!D13)),Theory_Rev_Prod!D17+Amortize_Prod!D13,"SLO 不可達")</f>
        <v>0.403926849029499</v>
      </c>
      <c r="E18" s="159" t="n">
        <f aca="false">IF(AND(ISNUMBER(Theory_Rev_Prod!E17),ISNUMBER(Amortize_Prod!E13)),Theory_Rev_Prod!E17+Amortize_Prod!E13,"SLO 不可達")</f>
        <v>0.693683196079549</v>
      </c>
      <c r="F18" s="159" t="n">
        <f aca="false">IF(AND(ISNUMBER(Theory_Rev_Prod!F17),ISNUMBER(Amortize_Prod!F13)),Theory_Rev_Prod!F17+Amortize_Prod!F13,"SLO 不可達")</f>
        <v>0.0426305550116953</v>
      </c>
      <c r="G18" s="159" t="n">
        <f aca="false">IF(AND(ISNUMBER(Theory_Rev_Prod!G17),ISNUMBER(Amortize_Prod!G13)),Theory_Rev_Prod!G17+Amortize_Prod!G13,"SLO 不可達")</f>
        <v>0.0569171274080642</v>
      </c>
      <c r="H18" s="159" t="n">
        <f aca="false">IF(AND(ISNUMBER(Theory_Rev_Prod!H17),ISNUMBER(Amortize_Prod!H13)),Theory_Rev_Prod!H17+Amortize_Prod!H13,"SLO 不可達")</f>
        <v>0.0923082682610577</v>
      </c>
      <c r="I18" s="159" t="n">
        <f aca="false">IF(AND(ISNUMBER(Theory_Rev_Prod!I17),ISNUMBER(Amortize_Prod!I13)),Theory_Rev_Prod!I17+Amortize_Prod!I13,"SLO 不可達")</f>
        <v>0.0373376366713278</v>
      </c>
      <c r="J18" s="159" t="n">
        <f aca="false">IF(AND(ISNUMBER(Theory_Rev_Prod!J17),ISNUMBER(Amortize_Prod!J13)),Theory_Rev_Prod!J17+Amortize_Prod!J13,"SLO 不可達")</f>
        <v>0.0482205602451384</v>
      </c>
      <c r="K18" s="159" t="n">
        <f aca="false">IF(AND(ISNUMBER(Theory_Rev_Prod!K17),ISNUMBER(Amortize_Prod!K13)),Theory_Rev_Prod!K17+Amortize_Prod!K13,"SLO 不可達")</f>
        <v>0.0820902445360032</v>
      </c>
      <c r="L18" s="159" t="n">
        <f aca="false">IF(AND(ISNUMBER(Theory_Rev_Prod!L17),ISNUMBER(Amortize_Prod!L13)),Theory_Rev_Prod!L17+Amortize_Prod!L13,"SLO 不可達")</f>
        <v>0.0254639568319906</v>
      </c>
      <c r="M18" s="159" t="n">
        <f aca="false">IF(AND(ISNUMBER(Theory_Rev_Prod!M17),ISNUMBER(Amortize_Prod!M13)),Theory_Rev_Prod!M17+Amortize_Prod!M13,"SLO 不可達")</f>
        <v>0.0327246589739174</v>
      </c>
      <c r="N18" s="159" t="n">
        <f aca="false">IF(AND(ISNUMBER(Theory_Rev_Prod!N17),ISNUMBER(Amortize_Prod!N13)),Theory_Rev_Prod!N17+Amortize_Prod!N13,"SLO 不可達")</f>
        <v>0.0528610322562433</v>
      </c>
      <c r="O18" s="159" t="n">
        <f aca="false">IF(AND(ISNUMBER(Theory_Rev_Prod!O17),ISNUMBER(Amortize_Prod!O13)),Theory_Rev_Prod!O17+Amortize_Prod!O13,"SLO 不可達")</f>
        <v>0.019039987341036</v>
      </c>
      <c r="P18" s="159" t="n">
        <f aca="false">IF(AND(ISNUMBER(Theory_Rev_Prod!P17),ISNUMBER(Amortize_Prod!P13)),Theory_Rev_Prod!P17+Amortize_Prod!P13,"SLO 不可達")</f>
        <v>0.028932538699959</v>
      </c>
      <c r="Q18" s="159" t="n">
        <f aca="false">IF(AND(ISNUMBER(Theory_Rev_Prod!Q17),ISNUMBER(Amortize_Prod!Q13)),Theory_Rev_Prod!Q17+Amortize_Prod!Q13,"SLO 不可達")</f>
        <v>0.052808606781477</v>
      </c>
      <c r="S18" s="159" t="n">
        <f aca="false">IF(AND(ISNUMBER(Theory_Rev_Prod!S17),ISNUMBER(Amortize_Prod!S13)),Theory_Rev_Prod!S17+Amortize_Prod!S13,"SLO 不可達")</f>
        <v>0.181283739728315</v>
      </c>
      <c r="T18" s="159" t="n">
        <f aca="false">IF(AND(ISNUMBER(Theory_Rev_Prod!T17),ISNUMBER(Amortize_Prod!T13)),Theory_Rev_Prod!T17+Amortize_Prod!T13,"SLO 不可達")</f>
        <v>0.259013557619436</v>
      </c>
      <c r="U18" s="159" t="n">
        <f aca="false">IF(AND(ISNUMBER(Theory_Rev_Prod!U17),ISNUMBER(Amortize_Prod!U13)),Theory_Rev_Prod!U17+Amortize_Prod!U13,"SLO 不可達")</f>
        <v>0.444813774605223</v>
      </c>
      <c r="V18" s="159" t="n">
        <f aca="false">IF(AND(ISNUMBER(Theory_Rev_Prod!V17),ISNUMBER(Amortize_Prod!V13)),Theory_Rev_Prod!V17+Amortize_Prod!V13,"SLO 不可達")</f>
        <v>0.0321744990795468</v>
      </c>
      <c r="W18" s="159" t="n">
        <f aca="false">IF(AND(ISNUMBER(Theory_Rev_Prod!W17),ISNUMBER(Amortize_Prod!W13)),Theory_Rev_Prod!W17+Amortize_Prod!W13,"SLO 不可達")</f>
        <v>0.0429560932413866</v>
      </c>
      <c r="X18" s="159" t="n">
        <f aca="false">IF(AND(ISNUMBER(Theory_Rev_Prod!X17),ISNUMBER(Amortize_Prod!X13)),Theory_Rev_Prod!X17+Amortize_Prod!X13,"SLO 不可達")</f>
        <v>0.0696645931541063</v>
      </c>
      <c r="Y18" s="159" t="n">
        <f aca="false">IF(AND(ISNUMBER(Theory_Rev_Prod!Y17),ISNUMBER(Amortize_Prod!Y13)),Theory_Rev_Prod!Y17+Amortize_Prod!Y13,"SLO 不可達")</f>
        <v>0.0280907361641086</v>
      </c>
      <c r="Z18" s="159" t="n">
        <f aca="false">IF(AND(ISNUMBER(Theory_Rev_Prod!Z17),ISNUMBER(Amortize_Prod!Z13)),Theory_Rev_Prod!Z17+Amortize_Prod!Z13,"SLO 不可達")</f>
        <v>0.0362776531141064</v>
      </c>
      <c r="AA18" s="159" t="n">
        <f aca="false">IF(AND(ISNUMBER(Theory_Rev_Prod!AA17),ISNUMBER(Amortize_Prod!AA13)),Theory_Rev_Prod!AA17+Amortize_Prod!AA13,"SLO 不可達")</f>
        <v>0.0617568628624171</v>
      </c>
      <c r="AB18" s="159" t="n">
        <f aca="false">IF(AND(ISNUMBER(Theory_Rev_Prod!AB17),ISNUMBER(Amortize_Prod!AB13)),Theory_Rev_Prod!AB17+Amortize_Prod!AB13,"SLO 不可達")</f>
        <v>0.019589084248297</v>
      </c>
      <c r="AC18" s="159" t="n">
        <f aca="false">IF(AND(ISNUMBER(Theory_Rev_Prod!AC17),ISNUMBER(Amortize_Prod!AC13)),Theory_Rev_Prod!AC17+Amortize_Prod!AC13,"SLO 不可達")</f>
        <v>0.0251739331921266</v>
      </c>
      <c r="AD18" s="159" t="n">
        <f aca="false">IF(AND(ISNUMBER(Theory_Rev_Prod!AD17),ISNUMBER(Amortize_Prod!AD13)),Theory_Rev_Prod!AD17+Amortize_Prod!AD13,"SLO 不可達")</f>
        <v>0.0406626009352869</v>
      </c>
      <c r="AE18" s="159" t="n">
        <f aca="false">IF(AND(ISNUMBER(Theory_Rev_Prod!AE17),ISNUMBER(Amortize_Prod!AE13)),Theory_Rev_Prod!AE17+Amortize_Prod!AE13,"SLO 不可達")</f>
        <v>0.0147563579921895</v>
      </c>
      <c r="AF18" s="159" t="n">
        <f aca="false">IF(AND(ISNUMBER(Theory_Rev_Prod!AF17),ISNUMBER(Amortize_Prod!AF13)),Theory_Rev_Prod!AF17+Amortize_Prod!AF13,"SLO 不可達")</f>
        <v>0.0224220094437953</v>
      </c>
      <c r="AG18" s="159" t="n">
        <f aca="false">IF(AND(ISNUMBER(Theory_Rev_Prod!AG17),ISNUMBER(Amortize_Prod!AG13)),Theory_Rev_Prod!AG17+Amortize_Prod!AG13,"SLO 不可達")</f>
        <v>0.0409233655962342</v>
      </c>
    </row>
    <row r="28" customFormat="false" ht="15" hidden="false" customHeight="false" outlineLevel="0" collapsed="false">
      <c r="A28" s="60" t="s">
        <v>1812</v>
      </c>
      <c r="B28" s="58" t="s">
        <v>2362</v>
      </c>
      <c r="C28" s="62" t="n">
        <f aca="false">IF(ISNUMBER(INDEX(Interface_Prod!$C$31:$Q$31,1,Theory_Rev!C$7)),INDEX(Interface_Prod!$C$31:$Q$31,1,Theory_Rev!C$7)*IF_Util,INDEX(Interface_Prod!$C$31:$Q$31,1,Theory_Rev!C$7))</f>
        <v>8056029509.73962</v>
      </c>
      <c r="D28" s="62" t="n">
        <f aca="false">IF(ISNUMBER(INDEX(Interface_Prod!$C$31:$Q$31,1,Theory_Rev!D$7)),INDEX(Interface_Prod!$C$31:$Q$31,1,Theory_Rev!D$7)*IF_Util,INDEX(Interface_Prod!$C$31:$Q$31,1,Theory_Rev!D$7))</f>
        <v>8056029509.73962</v>
      </c>
      <c r="E28" s="62" t="n">
        <f aca="false">IF(ISNUMBER(INDEX(Interface_Prod!$C$31:$Q$31,1,Theory_Rev!E$7)),INDEX(Interface_Prod!$C$31:$Q$31,1,Theory_Rev!E$7)*IF_Util,INDEX(Interface_Prod!$C$31:$Q$31,1,Theory_Rev!E$7))</f>
        <v>8056029509.73962</v>
      </c>
      <c r="F28" s="62" t="n">
        <f aca="false">IF(ISNUMBER(INDEX(Interface_Prod!$C$31:$Q$31,1,Theory_Rev!F$7)),INDEX(Interface_Prod!$C$31:$Q$31,1,Theory_Rev!F$7)*IF_Util,INDEX(Interface_Prod!$C$31:$Q$31,1,Theory_Rev!F$7))</f>
        <v>49873311614.5235</v>
      </c>
      <c r="G28" s="62" t="n">
        <f aca="false">IF(ISNUMBER(INDEX(Interface_Prod!$C$31:$Q$31,1,Theory_Rev!G$7)),INDEX(Interface_Prod!$C$31:$Q$31,1,Theory_Rev!G$7)*IF_Util,INDEX(Interface_Prod!$C$31:$Q$31,1,Theory_Rev!G$7))</f>
        <v>49873311614.5235</v>
      </c>
      <c r="H28" s="62" t="n">
        <f aca="false">IF(ISNUMBER(INDEX(Interface_Prod!$C$31:$Q$31,1,Theory_Rev!H$7)),INDEX(Interface_Prod!$C$31:$Q$31,1,Theory_Rev!H$7)*IF_Util,INDEX(Interface_Prod!$C$31:$Q$31,1,Theory_Rev!H$7))</f>
        <v>49873311614.5235</v>
      </c>
      <c r="I28" s="62" t="n">
        <f aca="false">IF(ISNUMBER(INDEX(Interface_Prod!$C$31:$Q$31,1,Theory_Rev!I$7)),INDEX(Interface_Prod!$C$31:$Q$31,1,Theory_Rev!I$7)*IF_Util,INDEX(Interface_Prod!$C$31:$Q$31,1,Theory_Rev!I$7))</f>
        <v>72609358536.5125</v>
      </c>
      <c r="J28" s="62" t="n">
        <f aca="false">IF(ISNUMBER(INDEX(Interface_Prod!$C$31:$Q$31,1,Theory_Rev!J$7)),INDEX(Interface_Prod!$C$31:$Q$31,1,Theory_Rev!J$7)*IF_Util,INDEX(Interface_Prod!$C$31:$Q$31,1,Theory_Rev!J$7))</f>
        <v>72609358536.5125</v>
      </c>
      <c r="K28" s="62" t="n">
        <f aca="false">IF(ISNUMBER(INDEX(Interface_Prod!$C$31:$Q$31,1,Theory_Rev!K$7)),INDEX(Interface_Prod!$C$31:$Q$31,1,Theory_Rev!K$7)*IF_Util,INDEX(Interface_Prod!$C$31:$Q$31,1,Theory_Rev!K$7))</f>
        <v>72609358536.5125</v>
      </c>
      <c r="L28" s="62" t="n">
        <f aca="false">IF(ISNUMBER(INDEX(Interface_Prod!$C$31:$Q$31,1,Theory_Rev!L$7)),INDEX(Interface_Prod!$C$31:$Q$31,1,Theory_Rev!L$7)*IF_Util,INDEX(Interface_Prod!$C$31:$Q$31,1,Theory_Rev!L$7))</f>
        <v>114986431721.293</v>
      </c>
      <c r="M28" s="62" t="n">
        <f aca="false">IF(ISNUMBER(INDEX(Interface_Prod!$C$31:$Q$31,1,Theory_Rev!M$7)),INDEX(Interface_Prod!$C$31:$Q$31,1,Theory_Rev!M$7)*IF_Util,INDEX(Interface_Prod!$C$31:$Q$31,1,Theory_Rev!M$7))</f>
        <v>114986431721.293</v>
      </c>
      <c r="N28" s="62" t="n">
        <f aca="false">IF(ISNUMBER(INDEX(Interface_Prod!$C$31:$Q$31,1,Theory_Rev!N$7)),INDEX(Interface_Prod!$C$31:$Q$31,1,Theory_Rev!N$7)*IF_Util,INDEX(Interface_Prod!$C$31:$Q$31,1,Theory_Rev!N$7))</f>
        <v>114986431721.293</v>
      </c>
      <c r="O28" s="62" t="n">
        <f aca="false">IF(ISNUMBER(INDEX(Interface_Prod!$C$31:$Q$31,1,Theory_Rev!O$7)),INDEX(Interface_Prod!$C$31:$Q$31,1,Theory_Rev!O$7)*IF_Util,INDEX(Interface_Prod!$C$31:$Q$31,1,Theory_Rev!O$7))</f>
        <v>158498904523.277</v>
      </c>
      <c r="P28" s="62" t="n">
        <f aca="false">IF(ISNUMBER(INDEX(Interface_Prod!$C$31:$Q$31,1,Theory_Rev!P$7)),INDEX(Interface_Prod!$C$31:$Q$31,1,Theory_Rev!P$7)*IF_Util,INDEX(Interface_Prod!$C$31:$Q$31,1,Theory_Rev!P$7))</f>
        <v>158498904523.277</v>
      </c>
      <c r="Q28" s="62" t="n">
        <f aca="false">IF(ISNUMBER(INDEX(Interface_Prod!$C$31:$Q$31,1,Theory_Rev!Q$7)),INDEX(Interface_Prod!$C$31:$Q$31,1,Theory_Rev!Q$7)*IF_Util,INDEX(Interface_Prod!$C$31:$Q$31,1,Theory_Rev!Q$7))</f>
        <v>158498904523.277</v>
      </c>
      <c r="S28" s="62" t="n">
        <f aca="false">IF(ISNUMBER(INDEX(Interface_Prod!$S$31:$AG$31,1,Theory_Rev!C$7)),INDEX(Interface_Prod!$S$31:$AG$31,1,Theory_Rev!C$7)*IF_Util,INDEX(Interface_Prod!$S$31:$AG$31,1,Theory_Rev!C$7))</f>
        <v>11157967459.971</v>
      </c>
      <c r="T28" s="62" t="n">
        <f aca="false">IF(ISNUMBER(INDEX(Interface_Prod!$S$31:$AG$31,1,Theory_Rev!D$7)),INDEX(Interface_Prod!$S$31:$AG$31,1,Theory_Rev!D$7)*IF_Util,INDEX(Interface_Prod!$S$31:$AG$31,1,Theory_Rev!D$7))</f>
        <v>11157967459.971</v>
      </c>
      <c r="U28" s="62" t="n">
        <f aca="false">IF(ISNUMBER(INDEX(Interface_Prod!$S$31:$AG$31,1,Theory_Rev!E$7)),INDEX(Interface_Prod!$S$31:$AG$31,1,Theory_Rev!E$7)*IF_Util,INDEX(Interface_Prod!$S$31:$AG$31,1,Theory_Rev!E$7))</f>
        <v>11157967459.971</v>
      </c>
      <c r="V28" s="62" t="n">
        <f aca="false">IF(ISNUMBER(INDEX(Interface_Prod!$S$31:$AG$31,1,Theory_Rev!F$7)),INDEX(Interface_Prod!$S$31:$AG$31,1,Theory_Rev!F$7)*IF_Util,INDEX(Interface_Prod!$S$31:$AG$31,1,Theory_Rev!F$7))</f>
        <v>62475240648.4001</v>
      </c>
      <c r="W28" s="62" t="n">
        <f aca="false">IF(ISNUMBER(INDEX(Interface_Prod!$S$31:$AG$31,1,Theory_Rev!G$7)),INDEX(Interface_Prod!$S$31:$AG$31,1,Theory_Rev!G$7)*IF_Util,INDEX(Interface_Prod!$S$31:$AG$31,1,Theory_Rev!G$7))</f>
        <v>62475240648.4001</v>
      </c>
      <c r="X28" s="62" t="n">
        <f aca="false">IF(ISNUMBER(INDEX(Interface_Prod!$S$31:$AG$31,1,Theory_Rev!H$7)),INDEX(Interface_Prod!$S$31:$AG$31,1,Theory_Rev!H$7)*IF_Util,INDEX(Interface_Prod!$S$31:$AG$31,1,Theory_Rev!H$7))</f>
        <v>62475240648.4001</v>
      </c>
      <c r="Y28" s="62" t="n">
        <f aca="false">IF(ISNUMBER(INDEX(Interface_Prod!$S$31:$AG$31,1,Theory_Rev!I$7)),INDEX(Interface_Prod!$S$31:$AG$31,1,Theory_Rev!I$7)*IF_Util,INDEX(Interface_Prod!$S$31:$AG$31,1,Theory_Rev!I$7))</f>
        <v>90956204852.7288</v>
      </c>
      <c r="Z28" s="62" t="n">
        <f aca="false">IF(ISNUMBER(INDEX(Interface_Prod!$S$31:$AG$31,1,Theory_Rev!J$7)),INDEX(Interface_Prod!$S$31:$AG$31,1,Theory_Rev!J$7)*IF_Util,INDEX(Interface_Prod!$S$31:$AG$31,1,Theory_Rev!J$7))</f>
        <v>90956204852.7288</v>
      </c>
      <c r="AA28" s="62" t="n">
        <f aca="false">IF(ISNUMBER(INDEX(Interface_Prod!$S$31:$AG$31,1,Theory_Rev!K$7)),INDEX(Interface_Prod!$S$31:$AG$31,1,Theory_Rev!K$7)*IF_Util,INDEX(Interface_Prod!$S$31:$AG$31,1,Theory_Rev!K$7))</f>
        <v>90956204852.7288</v>
      </c>
      <c r="AB28" s="62" t="n">
        <f aca="false">IF(ISNUMBER(INDEX(Interface_Prod!$S$31:$AG$31,1,Theory_Rev!L$7)),INDEX(Interface_Prod!$S$31:$AG$31,1,Theory_Rev!L$7)*IF_Util,INDEX(Interface_Prod!$S$31:$AG$31,1,Theory_Rev!L$7))</f>
        <v>142372403240.994</v>
      </c>
      <c r="AC28" s="62" t="n">
        <f aca="false">IF(ISNUMBER(INDEX(Interface_Prod!$S$31:$AG$31,1,Theory_Rev!M$7)),INDEX(Interface_Prod!$S$31:$AG$31,1,Theory_Rev!M$7)*IF_Util,INDEX(Interface_Prod!$S$31:$AG$31,1,Theory_Rev!M$7))</f>
        <v>142372403240.994</v>
      </c>
      <c r="AD28" s="62" t="n">
        <f aca="false">IF(ISNUMBER(INDEX(Interface_Prod!$S$31:$AG$31,1,Theory_Rev!N$7)),INDEX(Interface_Prod!$S$31:$AG$31,1,Theory_Rev!N$7)*IF_Util,INDEX(Interface_Prod!$S$31:$AG$31,1,Theory_Rev!N$7))</f>
        <v>142372403240.994</v>
      </c>
      <c r="AE28" s="62" t="n">
        <f aca="false">IF(ISNUMBER(INDEX(Interface_Prod!$S$31:$AG$31,1,Theory_Rev!O$7)),INDEX(Interface_Prod!$S$31:$AG$31,1,Theory_Rev!O$7)*IF_Util,INDEX(Interface_Prod!$S$31:$AG$31,1,Theory_Rev!O$7))</f>
        <v>195711402313.41</v>
      </c>
      <c r="AF28" s="62" t="n">
        <f aca="false">IF(ISNUMBER(INDEX(Interface_Prod!$S$31:$AG$31,1,Theory_Rev!P$7)),INDEX(Interface_Prod!$S$31:$AG$31,1,Theory_Rev!P$7)*IF_Util,INDEX(Interface_Prod!$S$31:$AG$31,1,Theory_Rev!P$7))</f>
        <v>195711402313.41</v>
      </c>
      <c r="AG28" s="62" t="n">
        <f aca="false">IF(ISNUMBER(INDEX(Interface_Prod!$S$31:$AG$31,1,Theory_Rev!Q$7)),INDEX(Interface_Prod!$S$31:$AG$31,1,Theory_Rev!Q$7)*IF_Util,INDEX(Interface_Prod!$S$31:$AG$31,1,Theory_Rev!Q$7))</f>
        <v>195711402313.41</v>
      </c>
    </row>
    <row r="29" customFormat="false" ht="15" hidden="false" customHeight="false" outlineLevel="0" collapsed="false">
      <c r="A29" s="60" t="s">
        <v>1830</v>
      </c>
      <c r="B29" s="58" t="s">
        <v>2389</v>
      </c>
      <c r="C29" s="162" t="n">
        <f aca="false">IF(ISNUMBER(Theory_Rev_Prod!C28),Theory_Rev_Prod!C28*INDEX(B4_EffRef,1,2)/1000000000,Theory_Rev_Prod!C28)</f>
        <v>12.9469345365415</v>
      </c>
      <c r="D29" s="162" t="n">
        <f aca="false">IF(ISNUMBER(Theory_Rev_Prod!D28),Theory_Rev_Prod!D28*INDEX(B4_EffRef,1,2)/1000000000,Theory_Rev_Prod!D28)</f>
        <v>12.9469345365415</v>
      </c>
      <c r="E29" s="162" t="n">
        <f aca="false">IF(ISNUMBER(Theory_Rev_Prod!E28),Theory_Rev_Prod!E28*INDEX(B4_EffRef,1,2)/1000000000,Theory_Rev_Prod!E28)</f>
        <v>12.9469345365415</v>
      </c>
      <c r="F29" s="162" t="n">
        <f aca="false">IF(ISNUMBER(Theory_Rev_Prod!F28),Theory_Rev_Prod!F28*INDEX(B4_EffRef,1,2)/1000000000,Theory_Rev_Prod!F28)</f>
        <v>80.1519532436076</v>
      </c>
      <c r="G29" s="162" t="n">
        <f aca="false">IF(ISNUMBER(Theory_Rev_Prod!G28),Theory_Rev_Prod!G28*INDEX(B4_EffRef,1,2)/1000000000,Theory_Rev_Prod!G28)</f>
        <v>80.1519532436076</v>
      </c>
      <c r="H29" s="162" t="n">
        <f aca="false">IF(ISNUMBER(Theory_Rev_Prod!H28),Theory_Rev_Prod!H28*INDEX(B4_EffRef,1,2)/1000000000,Theory_Rev_Prod!H28)</f>
        <v>80.1519532436076</v>
      </c>
      <c r="I29" s="162" t="n">
        <f aca="false">IF(ISNUMBER(Theory_Rev_Prod!I28),Theory_Rev_Prod!I28*INDEX(B4_EffRef,1,2)/1000000000,Theory_Rev_Prod!I28)</f>
        <v>116.69130687468</v>
      </c>
      <c r="J29" s="162" t="n">
        <f aca="false">IF(ISNUMBER(Theory_Rev_Prod!J28),Theory_Rev_Prod!J28*INDEX(B4_EffRef,1,2)/1000000000,Theory_Rev_Prod!J28)</f>
        <v>116.69130687468</v>
      </c>
      <c r="K29" s="162" t="n">
        <f aca="false">IF(ISNUMBER(Theory_Rev_Prod!K28),Theory_Rev_Prod!K28*INDEX(B4_EffRef,1,2)/1000000000,Theory_Rev_Prod!K28)</f>
        <v>116.69130687468</v>
      </c>
      <c r="L29" s="162" t="n">
        <f aca="false">IF(ISNUMBER(Theory_Rev_Prod!L28),Theory_Rev_Prod!L28*INDEX(B4_EffRef,1,2)/1000000000,Theory_Rev_Prod!L28)</f>
        <v>184.79597204631</v>
      </c>
      <c r="M29" s="162" t="n">
        <f aca="false">IF(ISNUMBER(Theory_Rev_Prod!M28),Theory_Rev_Prod!M28*INDEX(B4_EffRef,1,2)/1000000000,Theory_Rev_Prod!M28)</f>
        <v>184.79597204631</v>
      </c>
      <c r="N29" s="162" t="n">
        <f aca="false">IF(ISNUMBER(Theory_Rev_Prod!N28),Theory_Rev_Prod!N28*INDEX(B4_EffRef,1,2)/1000000000,Theory_Rev_Prod!N28)</f>
        <v>184.79597204631</v>
      </c>
      <c r="O29" s="162" t="n">
        <f aca="false">IF(ISNUMBER(Theory_Rev_Prod!O28),Theory_Rev_Prod!O28*INDEX(B4_EffRef,1,2)/1000000000,Theory_Rev_Prod!O28)</f>
        <v>254.725350558298</v>
      </c>
      <c r="P29" s="162" t="n">
        <f aca="false">IF(ISNUMBER(Theory_Rev_Prod!P28),Theory_Rev_Prod!P28*INDEX(B4_EffRef,1,2)/1000000000,Theory_Rev_Prod!P28)</f>
        <v>254.725350558298</v>
      </c>
      <c r="Q29" s="162" t="n">
        <f aca="false">IF(ISNUMBER(Theory_Rev_Prod!Q28),Theory_Rev_Prod!Q28*INDEX(B4_EffRef,1,2)/1000000000,Theory_Rev_Prod!Q28)</f>
        <v>254.725350558298</v>
      </c>
      <c r="S29" s="162" t="n">
        <f aca="false">IF(ISNUMBER(Theory_Rev_Prod!S28),Theory_Rev_Prod!S28*INDEX(B4_EffRef,1,2)/1000000000,Theory_Rev_Prod!S28)</f>
        <v>17.9320934823355</v>
      </c>
      <c r="T29" s="162" t="n">
        <f aca="false">IF(ISNUMBER(Theory_Rev_Prod!T28),Theory_Rev_Prod!T28*INDEX(B4_EffRef,1,2)/1000000000,Theory_Rev_Prod!T28)</f>
        <v>17.9320934823355</v>
      </c>
      <c r="U29" s="162" t="n">
        <f aca="false">IF(ISNUMBER(Theory_Rev_Prod!U28),Theory_Rev_Prod!U28*INDEX(B4_EffRef,1,2)/1000000000,Theory_Rev_Prod!U28)</f>
        <v>17.9320934823355</v>
      </c>
      <c r="V29" s="162" t="n">
        <f aca="false">IF(ISNUMBER(Theory_Rev_Prod!V28),Theory_Rev_Prod!V28*INDEX(B4_EffRef,1,2)/1000000000,Theory_Rev_Prod!V28)</f>
        <v>100.404653415384</v>
      </c>
      <c r="W29" s="162" t="n">
        <f aca="false">IF(ISNUMBER(Theory_Rev_Prod!W28),Theory_Rev_Prod!W28*INDEX(B4_EffRef,1,2)/1000000000,Theory_Rev_Prod!W28)</f>
        <v>100.404653415384</v>
      </c>
      <c r="X29" s="162" t="n">
        <f aca="false">IF(ISNUMBER(Theory_Rev_Prod!X28),Theory_Rev_Prod!X28*INDEX(B4_EffRef,1,2)/1000000000,Theory_Rev_Prod!X28)</f>
        <v>100.404653415384</v>
      </c>
      <c r="Y29" s="162" t="n">
        <f aca="false">IF(ISNUMBER(Theory_Rev_Prod!Y28),Theory_Rev_Prod!Y28*INDEX(B4_EffRef,1,2)/1000000000,Theory_Rev_Prod!Y28)</f>
        <v>146.176727443319</v>
      </c>
      <c r="Z29" s="162" t="n">
        <f aca="false">IF(ISNUMBER(Theory_Rev_Prod!Z28),Theory_Rev_Prod!Z28*INDEX(B4_EffRef,1,2)/1000000000,Theory_Rev_Prod!Z28)</f>
        <v>146.176727443319</v>
      </c>
      <c r="AA29" s="162" t="n">
        <f aca="false">IF(ISNUMBER(Theory_Rev_Prod!AA28),Theory_Rev_Prod!AA28*INDEX(B4_EffRef,1,2)/1000000000,Theory_Rev_Prod!AA28)</f>
        <v>146.176727443319</v>
      </c>
      <c r="AB29" s="162" t="n">
        <f aca="false">IF(ISNUMBER(Theory_Rev_Prod!AB28),Theory_Rev_Prod!AB28*INDEX(B4_EffRef,1,2)/1000000000,Theory_Rev_Prod!AB28)</f>
        <v>228.808271164193</v>
      </c>
      <c r="AC29" s="162" t="n">
        <f aca="false">IF(ISNUMBER(Theory_Rev_Prod!AC28),Theory_Rev_Prod!AC28*INDEX(B4_EffRef,1,2)/1000000000,Theory_Rev_Prod!AC28)</f>
        <v>228.808271164193</v>
      </c>
      <c r="AD29" s="162" t="n">
        <f aca="false">IF(ISNUMBER(Theory_Rev_Prod!AD28),Theory_Rev_Prod!AD28*INDEX(B4_EffRef,1,2)/1000000000,Theory_Rev_Prod!AD28)</f>
        <v>228.808271164193</v>
      </c>
      <c r="AE29" s="162" t="n">
        <f aca="false">IF(ISNUMBER(Theory_Rev_Prod!AE28),Theory_Rev_Prod!AE28*INDEX(B4_EffRef,1,2)/1000000000,Theory_Rev_Prod!AE28)</f>
        <v>314.529969229019</v>
      </c>
      <c r="AF29" s="162" t="n">
        <f aca="false">IF(ISNUMBER(Theory_Rev_Prod!AF28),Theory_Rev_Prod!AF28*INDEX(B4_EffRef,1,2)/1000000000,Theory_Rev_Prod!AF28)</f>
        <v>314.529969229019</v>
      </c>
      <c r="AG29" s="162" t="n">
        <f aca="false">IF(ISNUMBER(Theory_Rev_Prod!AG28),Theory_Rev_Prod!AG28*INDEX(B4_EffRef,1,2)/1000000000,Theory_Rev_Prod!AG28)</f>
        <v>314.529969229019</v>
      </c>
    </row>
    <row r="35" customFormat="false" ht="15" hidden="false" customHeight="false" outlineLevel="0" collapsed="false">
      <c r="A35" s="60" t="s">
        <v>1820</v>
      </c>
      <c r="B35" s="58" t="s">
        <v>807</v>
      </c>
      <c r="C35" s="158" t="n">
        <f aca="false">Amortize_Prod!C23</f>
        <v>0.714336898863784</v>
      </c>
      <c r="D35" s="158" t="n">
        <f aca="false">Amortize_Prod!D23</f>
        <v>1.02063795298996</v>
      </c>
      <c r="E35" s="158" t="n">
        <f aca="false">Amortize_Prod!E23</f>
        <v>1.75279973933733</v>
      </c>
      <c r="F35" s="158" t="n">
        <f aca="false">Amortize_Prod!F23</f>
        <v>0.114871399557638</v>
      </c>
      <c r="G35" s="158" t="n">
        <f aca="false">Amortize_Prod!G23</f>
        <v>0.153372331182364</v>
      </c>
      <c r="H35" s="158" t="n">
        <f aca="false">Amortize_Prod!H23</f>
        <v>0.248748034765995</v>
      </c>
      <c r="I35" s="158" t="n">
        <f aca="false">Amortize_Prod!I23</f>
        <v>0.100593835195458</v>
      </c>
      <c r="J35" s="158" t="n">
        <f aca="false">Amortize_Prod!J23</f>
        <v>0.129918279259559</v>
      </c>
      <c r="K35" s="158" t="n">
        <f aca="false">Amortize_Prod!K23</f>
        <v>0.221181408667757</v>
      </c>
      <c r="L35" s="158" t="n">
        <f aca="false">Amortize_Prod!L23</f>
        <v>0.0702382629306258</v>
      </c>
      <c r="M35" s="158" t="n">
        <f aca="false">Amortize_Prod!M23</f>
        <v>0.0902698913934871</v>
      </c>
      <c r="N35" s="158" t="n">
        <f aca="false">Amortize_Prod!N23</f>
        <v>0.145824346086211</v>
      </c>
      <c r="O35" s="158" t="n">
        <f aca="false">Amortize_Prod!O23</f>
        <v>0.0538369096431518</v>
      </c>
      <c r="P35" s="158" t="n">
        <f aca="false">Amortize_Prod!P23</f>
        <v>0.0818167320663129</v>
      </c>
      <c r="Q35" s="158" t="n">
        <f aca="false">Amortize_Prod!Q23</f>
        <v>0.149347151757448</v>
      </c>
      <c r="S35" s="158" t="n">
        <f aca="false">Amortize_Prod!S23</f>
        <v>0.499286899028657</v>
      </c>
      <c r="T35" s="158" t="n">
        <f aca="false">Amortize_Prod!T23</f>
        <v>0.713374518877047</v>
      </c>
      <c r="U35" s="158" t="n">
        <f aca="false">Amortize_Prod!U23</f>
        <v>1.22511540932297</v>
      </c>
      <c r="V35" s="158" t="n">
        <f aca="false">Amortize_Prod!V23</f>
        <v>0.0907896070390855</v>
      </c>
      <c r="W35" s="158" t="n">
        <f aca="false">Amortize_Prod!W23</f>
        <v>0.121218072413277</v>
      </c>
      <c r="X35" s="158" t="n">
        <f aca="false">Amortize_Prod!X23</f>
        <v>0.196596411886232</v>
      </c>
      <c r="Y35" s="158" t="n">
        <f aca="false">Amortize_Prod!Y23</f>
        <v>0.0795068498732029</v>
      </c>
      <c r="Z35" s="158" t="n">
        <f aca="false">Amortize_Prod!Z23</f>
        <v>0.102683217394179</v>
      </c>
      <c r="AA35" s="158" t="n">
        <f aca="false">Amortize_Prod!AA23</f>
        <v>0.17481238798153</v>
      </c>
      <c r="AB35" s="158" t="n">
        <f aca="false">Amortize_Prod!AB23</f>
        <v>0.0562061280073716</v>
      </c>
      <c r="AC35" s="158" t="n">
        <f aca="false">Amortize_Prod!AC23</f>
        <v>0.0722349806053506</v>
      </c>
      <c r="AD35" s="158" t="n">
        <f aca="false">Amortize_Prod!AD23</f>
        <v>0.116688389227706</v>
      </c>
      <c r="AE35" s="158" t="n">
        <f aca="false">Amortize_Prod!AE23</f>
        <v>0.0432131923940377</v>
      </c>
      <c r="AF35" s="158" t="n">
        <f aca="false">Amortize_Prod!AF23</f>
        <v>0.0656701385291775</v>
      </c>
      <c r="AG35" s="158" t="n">
        <f aca="false">Amortize_Prod!AG23</f>
        <v>0.11987087556573</v>
      </c>
    </row>
    <row r="36" customFormat="false" ht="15" hidden="false" customHeight="false" outlineLevel="0" collapsed="false">
      <c r="A36" s="60" t="s">
        <v>1832</v>
      </c>
      <c r="B36" s="58" t="s">
        <v>807</v>
      </c>
      <c r="C36" s="159" t="n">
        <f aca="false">IF(AND(ISNUMBER(Theory_Rev_Prod!C35),ISNUMBER(Amortize_Prod!C22)),Theory_Rev_Prod!C35+Amortize_Prod!C22,"SLO 不可達")</f>
        <v>0.854125092609135</v>
      </c>
      <c r="D36" s="159" t="n">
        <f aca="false">IF(AND(ISNUMBER(Theory_Rev_Prod!D35),ISNUMBER(Amortize_Prod!D22)),Theory_Rev_Prod!D35+Amortize_Prod!D22,"SLO 不可達")</f>
        <v>1.22036732053968</v>
      </c>
      <c r="E36" s="159" t="n">
        <f aca="false">IF(AND(ISNUMBER(Theory_Rev_Prod!E35),ISNUMBER(Amortize_Prod!E22)),Theory_Rev_Prod!E35+Amortize_Prod!E22,"SLO 不可達")</f>
        <v>2.09580852528007</v>
      </c>
      <c r="F36" s="159" t="n">
        <f aca="false">IF(AND(ISNUMBER(Theory_Rev_Prod!F35),ISNUMBER(Amortize_Prod!F22)),Theory_Rev_Prod!F35+Amortize_Prod!F22,"SLO 不可達")</f>
        <v>0.137559309558528</v>
      </c>
      <c r="G36" s="159" t="n">
        <f aca="false">IF(AND(ISNUMBER(Theory_Rev_Prod!G35),ISNUMBER(Amortize_Prod!G22)),Theory_Rev_Prod!G35+Amortize_Prod!G22,"SLO 不可達")</f>
        <v>0.1836654635784</v>
      </c>
      <c r="H36" s="159" t="n">
        <f aca="false">IF(AND(ISNUMBER(Theory_Rev_Prod!H35),ISNUMBER(Amortize_Prod!H22)),Theory_Rev_Prod!H35+Amortize_Prod!H22,"SLO 不可達")</f>
        <v>0.297881060282466</v>
      </c>
      <c r="I36" s="159" t="n">
        <f aca="false">IF(AND(ISNUMBER(Theory_Rev_Prod!I35),ISNUMBER(Amortize_Prod!I22)),Theory_Rev_Prod!I35+Amortize_Prod!I22,"SLO 不可達")</f>
        <v>0.121262378816956</v>
      </c>
      <c r="J36" s="159" t="n">
        <f aca="false">IF(AND(ISNUMBER(Theory_Rev_Prod!J35),ISNUMBER(Amortize_Prod!J22)),Theory_Rev_Prod!J35+Amortize_Prod!J22,"SLO 不可達")</f>
        <v>0.156612899452836</v>
      </c>
      <c r="K36" s="159" t="n">
        <f aca="false">IF(AND(ISNUMBER(Theory_Rev_Prod!K35),ISNUMBER(Amortize_Prod!K22)),Theory_Rev_Prod!K35+Amortize_Prod!K22,"SLO 不可達")</f>
        <v>0.266630301057697</v>
      </c>
      <c r="L36" s="159" t="n">
        <f aca="false">IF(AND(ISNUMBER(Theory_Rev_Prod!L35),ISNUMBER(Amortize_Prod!L22)),Theory_Rev_Prod!L35+Amortize_Prod!L22,"SLO 不可達")</f>
        <v>0.0777840752255203</v>
      </c>
      <c r="M36" s="159" t="n">
        <f aca="false">IF(AND(ISNUMBER(Theory_Rev_Prod!M35),ISNUMBER(Amortize_Prod!M22)),Theory_Rev_Prod!M35+Amortize_Prod!M22,"SLO 不可達")</f>
        <v>0.09996820546378</v>
      </c>
      <c r="N36" s="159" t="n">
        <f aca="false">IF(AND(ISNUMBER(Theory_Rev_Prod!N35),ISNUMBER(Amortize_Prod!N22)),Theory_Rev_Prod!N35+Amortize_Prod!N22,"SLO 不可達")</f>
        <v>0.161492272790798</v>
      </c>
      <c r="O36" s="159" t="n">
        <f aca="false">IF(AND(ISNUMBER(Theory_Rev_Prod!O35),ISNUMBER(Amortize_Prod!O22)),Theory_Rev_Prod!O35+Amortize_Prod!O22,"SLO 不可達")</f>
        <v>0.0575524804069272</v>
      </c>
      <c r="P36" s="159" t="n">
        <f aca="false">IF(AND(ISNUMBER(Theory_Rev_Prod!P35),ISNUMBER(Amortize_Prod!P22)),Theory_Rev_Prod!P35+Amortize_Prod!P22,"SLO 不可達")</f>
        <v>0.0874638901630846</v>
      </c>
      <c r="Q36" s="159" t="n">
        <f aca="false">IF(AND(ISNUMBER(Theory_Rev_Prod!Q35),ISNUMBER(Amortize_Prod!Q22)),Theory_Rev_Prod!Q35+Amortize_Prod!Q22,"SLO 不可達")</f>
        <v>0.159656273082383</v>
      </c>
      <c r="S36" s="159" t="n">
        <f aca="false">IF(AND(ISNUMBER(Theory_Rev_Prod!S35),ISNUMBER(Amortize_Prod!S22)),Theory_Rev_Prod!S35+Amortize_Prod!S22,"SLO 不可達")</f>
        <v>0.58836625697405</v>
      </c>
      <c r="T36" s="159" t="n">
        <f aca="false">IF(AND(ISNUMBER(Theory_Rev_Prod!T35),ISNUMBER(Amortize_Prod!T22)),Theory_Rev_Prod!T35+Amortize_Prod!T22,"SLO 不可達")</f>
        <v>0.840651103168418</v>
      </c>
      <c r="U36" s="159" t="n">
        <f aca="false">IF(AND(ISNUMBER(Theory_Rev_Prod!U35),ISNUMBER(Amortize_Prod!U22)),Theory_Rev_Prod!U35+Amortize_Prod!U22,"SLO 不可達")</f>
        <v>1.44369611777013</v>
      </c>
      <c r="V36" s="159" t="n">
        <f aca="false">IF(AND(ISNUMBER(Theory_Rev_Prod!V35),ISNUMBER(Amortize_Prod!V22)),Theory_Rev_Prod!V35+Amortize_Prod!V22,"SLO 不可達")</f>
        <v>0.10677898714576</v>
      </c>
      <c r="W36" s="159" t="n">
        <f aca="false">IF(AND(ISNUMBER(Theory_Rev_Prod!W35),ISNUMBER(Amortize_Prod!W22)),Theory_Rev_Prod!W35+Amortize_Prod!W22,"SLO 不可達")</f>
        <v>0.142567258322558</v>
      </c>
      <c r="X36" s="159" t="n">
        <f aca="false">IF(AND(ISNUMBER(Theory_Rev_Prod!X35),ISNUMBER(Amortize_Prod!X22)),Theory_Rev_Prod!X35+Amortize_Prod!X22,"SLO 不可達")</f>
        <v>0.231223075194707</v>
      </c>
      <c r="Y36" s="159" t="n">
        <f aca="false">IF(AND(ISNUMBER(Theory_Rev_Prod!Y35),ISNUMBER(Amortize_Prod!Y22)),Theory_Rev_Prod!Y35+Amortize_Prod!Y22,"SLO 不可達")</f>
        <v>0.0938071107274286</v>
      </c>
      <c r="Z36" s="159" t="n">
        <f aca="false">IF(AND(ISNUMBER(Theory_Rev_Prod!Z35),ISNUMBER(Amortize_Prod!Z22)),Theory_Rev_Prod!Z35+Amortize_Prod!Z22,"SLO 不可達")</f>
        <v>0.12115283185561</v>
      </c>
      <c r="AA36" s="159" t="n">
        <f aca="false">IF(AND(ISNUMBER(Theory_Rev_Prod!AA35),ISNUMBER(Amortize_Prod!AA22)),Theory_Rev_Prod!AA35+Amortize_Prod!AA22,"SLO 不可達")</f>
        <v>0.206257807098325</v>
      </c>
      <c r="AB36" s="159" t="n">
        <f aca="false">IF(AND(ISNUMBER(Theory_Rev_Prod!AB35),ISNUMBER(Amortize_Prod!AB22)),Theory_Rev_Prod!AB35+Amortize_Prod!AB22,"SLO 不可達")</f>
        <v>0.0616679702231791</v>
      </c>
      <c r="AC36" s="159" t="n">
        <f aca="false">IF(AND(ISNUMBER(Theory_Rev_Prod!AC35),ISNUMBER(Amortize_Prod!AC22)),Theory_Rev_Prod!AC35+Amortize_Prod!AC22,"SLO 不可達")</f>
        <v>0.0792548558873168</v>
      </c>
      <c r="AD36" s="159" t="n">
        <f aca="false">IF(AND(ISNUMBER(Theory_Rev_Prod!AD35),ISNUMBER(Amortize_Prod!AD22)),Theory_Rev_Prod!AD35+Amortize_Prod!AD22,"SLO 不可達")</f>
        <v>0.128029215127549</v>
      </c>
      <c r="AE36" s="159" t="n">
        <f aca="false">IF(AND(ISNUMBER(Theory_Rev_Prod!AE35),ISNUMBER(Amortize_Prod!AE22)),Theory_Rev_Prod!AE35+Amortize_Prod!AE22,"SLO 不可達")</f>
        <v>0.0459652410730628</v>
      </c>
      <c r="AF36" s="159" t="n">
        <f aca="false">IF(AND(ISNUMBER(Theory_Rev_Prod!AF35),ISNUMBER(Amortize_Prod!AF22)),Theory_Rev_Prod!AF35+Amortize_Prod!AF22,"SLO 不可達")</f>
        <v>0.069852875171414</v>
      </c>
      <c r="AG36" s="159" t="n">
        <f aca="false">IF(AND(ISNUMBER(Theory_Rev_Prod!AG35),ISNUMBER(Amortize_Prod!AG22)),Theory_Rev_Prod!AG35+Amortize_Prod!AG22,"SLO 不可達")</f>
        <v>0.127506634787651</v>
      </c>
    </row>
    <row r="46" customFormat="false" ht="15" hidden="false" customHeight="false" outlineLevel="0" collapsed="false">
      <c r="A46" s="60" t="s">
        <v>1812</v>
      </c>
      <c r="B46" s="58" t="s">
        <v>2362</v>
      </c>
      <c r="C46" s="62" t="str">
        <f aca="false">IF(ISNUMBER(INDEX(Interface_Prod!$C$41:$Q$41,1,Theory_Rev!C$7)),INDEX(Interface_Prod!$C$41:$Q$41,1,Theory_Rev!C$7)*IF_Util,INDEX(Interface_Prod!$C$41:$Q$41,1,Theory_Rev!C$7))</f>
        <v>TTFT 不可達</v>
      </c>
      <c r="D46" s="62" t="str">
        <f aca="false">IF(ISNUMBER(INDEX(Interface_Prod!$C$41:$Q$41,1,Theory_Rev!D$7)),INDEX(Interface_Prod!$C$41:$Q$41,1,Theory_Rev!D$7)*IF_Util,INDEX(Interface_Prod!$C$41:$Q$41,1,Theory_Rev!D$7))</f>
        <v>TTFT 不可達</v>
      </c>
      <c r="E46" s="62" t="str">
        <f aca="false">IF(ISNUMBER(INDEX(Interface_Prod!$C$41:$Q$41,1,Theory_Rev!E$7)),INDEX(Interface_Prod!$C$41:$Q$41,1,Theory_Rev!E$7)*IF_Util,INDEX(Interface_Prod!$C$41:$Q$41,1,Theory_Rev!E$7))</f>
        <v>TTFT 不可達</v>
      </c>
      <c r="F46" s="62" t="n">
        <f aca="false">IF(ISNUMBER(INDEX(Interface_Prod!$C$41:$Q$41,1,Theory_Rev!F$7)),INDEX(Interface_Prod!$C$41:$Q$41,1,Theory_Rev!F$7)*IF_Util,INDEX(Interface_Prod!$C$41:$Q$41,1,Theory_Rev!F$7))</f>
        <v>8811590625.56576</v>
      </c>
      <c r="G46" s="62" t="n">
        <f aca="false">IF(ISNUMBER(INDEX(Interface_Prod!$C$41:$Q$41,1,Theory_Rev!G$7)),INDEX(Interface_Prod!$C$41:$Q$41,1,Theory_Rev!G$7)*IF_Util,INDEX(Interface_Prod!$C$41:$Q$41,1,Theory_Rev!G$7))</f>
        <v>8811590625.56576</v>
      </c>
      <c r="H46" s="62" t="n">
        <f aca="false">IF(ISNUMBER(INDEX(Interface_Prod!$C$41:$Q$41,1,Theory_Rev!H$7)),INDEX(Interface_Prod!$C$41:$Q$41,1,Theory_Rev!H$7)*IF_Util,INDEX(Interface_Prod!$C$41:$Q$41,1,Theory_Rev!H$7))</f>
        <v>8811590625.56576</v>
      </c>
      <c r="I46" s="62" t="n">
        <f aca="false">IF(ISNUMBER(INDEX(Interface_Prod!$C$41:$Q$41,1,Theory_Rev!I$7)),INDEX(Interface_Prod!$C$41:$Q$41,1,Theory_Rev!I$7)*IF_Util,INDEX(Interface_Prod!$C$41:$Q$41,1,Theory_Rev!I$7))</f>
        <v>10164954812.5931</v>
      </c>
      <c r="J46" s="62" t="n">
        <f aca="false">IF(ISNUMBER(INDEX(Interface_Prod!$C$41:$Q$41,1,Theory_Rev!J$7)),INDEX(Interface_Prod!$C$41:$Q$41,1,Theory_Rev!J$7)*IF_Util,INDEX(Interface_Prod!$C$41:$Q$41,1,Theory_Rev!J$7))</f>
        <v>10164954812.5931</v>
      </c>
      <c r="K46" s="62" t="n">
        <f aca="false">IF(ISNUMBER(INDEX(Interface_Prod!$C$41:$Q$41,1,Theory_Rev!K$7)),INDEX(Interface_Prod!$C$41:$Q$41,1,Theory_Rev!K$7)*IF_Util,INDEX(Interface_Prod!$C$41:$Q$41,1,Theory_Rev!K$7))</f>
        <v>10164954812.5931</v>
      </c>
      <c r="L46" s="62" t="n">
        <f aca="false">IF(ISNUMBER(INDEX(Interface_Prod!$C$41:$Q$41,1,Theory_Rev!L$7)),INDEX(Interface_Prod!$C$41:$Q$41,1,Theory_Rev!L$7)*IF_Util,INDEX(Interface_Prod!$C$41:$Q$41,1,Theory_Rev!L$7))</f>
        <v>23512335581.9128</v>
      </c>
      <c r="M46" s="62" t="n">
        <f aca="false">IF(ISNUMBER(INDEX(Interface_Prod!$C$41:$Q$41,1,Theory_Rev!M$7)),INDEX(Interface_Prod!$C$41:$Q$41,1,Theory_Rev!M$7)*IF_Util,INDEX(Interface_Prod!$C$41:$Q$41,1,Theory_Rev!M$7))</f>
        <v>23512335581.9128</v>
      </c>
      <c r="N46" s="62" t="n">
        <f aca="false">IF(ISNUMBER(INDEX(Interface_Prod!$C$41:$Q$41,1,Theory_Rev!N$7)),INDEX(Interface_Prod!$C$41:$Q$41,1,Theory_Rev!N$7)*IF_Util,INDEX(Interface_Prod!$C$41:$Q$41,1,Theory_Rev!N$7))</f>
        <v>23512335581.9128</v>
      </c>
      <c r="O46" s="62" t="n">
        <f aca="false">IF(ISNUMBER(INDEX(Interface_Prod!$C$41:$Q$41,1,Theory_Rev!O$7)),INDEX(Interface_Prod!$C$41:$Q$41,1,Theory_Rev!O$7)*IF_Util,INDEX(Interface_Prod!$C$41:$Q$41,1,Theory_Rev!O$7))</f>
        <v>34656308563.632</v>
      </c>
      <c r="P46" s="62" t="n">
        <f aca="false">IF(ISNUMBER(INDEX(Interface_Prod!$C$41:$Q$41,1,Theory_Rev!P$7)),INDEX(Interface_Prod!$C$41:$Q$41,1,Theory_Rev!P$7)*IF_Util,INDEX(Interface_Prod!$C$41:$Q$41,1,Theory_Rev!P$7))</f>
        <v>34656308563.632</v>
      </c>
      <c r="Q46" s="62" t="n">
        <f aca="false">IF(ISNUMBER(INDEX(Interface_Prod!$C$41:$Q$41,1,Theory_Rev!Q$7)),INDEX(Interface_Prod!$C$41:$Q$41,1,Theory_Rev!Q$7)*IF_Util,INDEX(Interface_Prod!$C$41:$Q$41,1,Theory_Rev!Q$7))</f>
        <v>34656308563.632</v>
      </c>
      <c r="S46" s="62" t="str">
        <f aca="false">IF(ISNUMBER(INDEX(Interface_Prod!$S$41:$AG$41,1,Theory_Rev!C$7)),INDEX(Interface_Prod!$S$41:$AG$41,1,Theory_Rev!C$7)*IF_Util,INDEX(Interface_Prod!$S$41:$AG$41,1,Theory_Rev!C$7))</f>
        <v>TTFT 不可達</v>
      </c>
      <c r="T46" s="62" t="str">
        <f aca="false">IF(ISNUMBER(INDEX(Interface_Prod!$S$41:$AG$41,1,Theory_Rev!D$7)),INDEX(Interface_Prod!$S$41:$AG$41,1,Theory_Rev!D$7)*IF_Util,INDEX(Interface_Prod!$S$41:$AG$41,1,Theory_Rev!D$7))</f>
        <v>TTFT 不可達</v>
      </c>
      <c r="U46" s="62" t="str">
        <f aca="false">IF(ISNUMBER(INDEX(Interface_Prod!$S$41:$AG$41,1,Theory_Rev!E$7)),INDEX(Interface_Prod!$S$41:$AG$41,1,Theory_Rev!E$7)*IF_Util,INDEX(Interface_Prod!$S$41:$AG$41,1,Theory_Rev!E$7))</f>
        <v>TTFT 不可達</v>
      </c>
      <c r="V46" s="62" t="n">
        <f aca="false">IF(ISNUMBER(INDEX(Interface_Prod!$S$41:$AG$41,1,Theory_Rev!F$7)),INDEX(Interface_Prod!$S$41:$AG$41,1,Theory_Rev!F$7)*IF_Util,INDEX(Interface_Prod!$S$41:$AG$41,1,Theory_Rev!F$7))</f>
        <v>12025103198.548</v>
      </c>
      <c r="W46" s="62" t="n">
        <f aca="false">IF(ISNUMBER(INDEX(Interface_Prod!$S$41:$AG$41,1,Theory_Rev!G$7)),INDEX(Interface_Prod!$S$41:$AG$41,1,Theory_Rev!G$7)*IF_Util,INDEX(Interface_Prod!$S$41:$AG$41,1,Theory_Rev!G$7))</f>
        <v>12025103198.548</v>
      </c>
      <c r="X46" s="62" t="n">
        <f aca="false">IF(ISNUMBER(INDEX(Interface_Prod!$S$41:$AG$41,1,Theory_Rev!H$7)),INDEX(Interface_Prod!$S$41:$AG$41,1,Theory_Rev!H$7)*IF_Util,INDEX(Interface_Prod!$S$41:$AG$41,1,Theory_Rev!H$7))</f>
        <v>12025103198.548</v>
      </c>
      <c r="Y46" s="62" t="n">
        <f aca="false">IF(ISNUMBER(INDEX(Interface_Prod!$S$41:$AG$41,1,Theory_Rev!I$7)),INDEX(Interface_Prod!$S$41:$AG$41,1,Theory_Rev!I$7)*IF_Util,INDEX(Interface_Prod!$S$41:$AG$41,1,Theory_Rev!I$7))</f>
        <v>14540542517.2698</v>
      </c>
      <c r="Z46" s="62" t="n">
        <f aca="false">IF(ISNUMBER(INDEX(Interface_Prod!$S$41:$AG$41,1,Theory_Rev!J$7)),INDEX(Interface_Prod!$S$41:$AG$41,1,Theory_Rev!J$7)*IF_Util,INDEX(Interface_Prod!$S$41:$AG$41,1,Theory_Rev!J$7))</f>
        <v>14540542517.2698</v>
      </c>
      <c r="AA46" s="62" t="n">
        <f aca="false">IF(ISNUMBER(INDEX(Interface_Prod!$S$41:$AG$41,1,Theory_Rev!K$7)),INDEX(Interface_Prod!$S$41:$AG$41,1,Theory_Rev!K$7)*IF_Util,INDEX(Interface_Prod!$S$41:$AG$41,1,Theory_Rev!K$7))</f>
        <v>14540542517.2698</v>
      </c>
      <c r="AB46" s="62" t="n">
        <f aca="false">IF(ISNUMBER(INDEX(Interface_Prod!$S$41:$AG$41,1,Theory_Rev!L$7)),INDEX(Interface_Prod!$S$41:$AG$41,1,Theory_Rev!L$7)*IF_Util,INDEX(Interface_Prod!$S$41:$AG$41,1,Theory_Rev!L$7))</f>
        <v>30700734330.9357</v>
      </c>
      <c r="AC46" s="62" t="n">
        <f aca="false">IF(ISNUMBER(INDEX(Interface_Prod!$S$41:$AG$41,1,Theory_Rev!M$7)),INDEX(Interface_Prod!$S$41:$AG$41,1,Theory_Rev!M$7)*IF_Util,INDEX(Interface_Prod!$S$41:$AG$41,1,Theory_Rev!M$7))</f>
        <v>30700734330.9357</v>
      </c>
      <c r="AD46" s="62" t="n">
        <f aca="false">IF(ISNUMBER(INDEX(Interface_Prod!$S$41:$AG$41,1,Theory_Rev!N$7)),INDEX(Interface_Prod!$S$41:$AG$41,1,Theory_Rev!N$7)*IF_Util,INDEX(Interface_Prod!$S$41:$AG$41,1,Theory_Rev!N$7))</f>
        <v>30700734330.9357</v>
      </c>
      <c r="AE46" s="62" t="n">
        <f aca="false">IF(ISNUMBER(INDEX(Interface_Prod!$S$41:$AG$41,1,Theory_Rev!O$7)),INDEX(Interface_Prod!$S$41:$AG$41,1,Theory_Rev!O$7)*IF_Util,INDEX(Interface_Prod!$S$41:$AG$41,1,Theory_Rev!O$7))</f>
        <v>44640573595.0624</v>
      </c>
      <c r="AF46" s="62" t="n">
        <f aca="false">IF(ISNUMBER(INDEX(Interface_Prod!$S$41:$AG$41,1,Theory_Rev!P$7)),INDEX(Interface_Prod!$S$41:$AG$41,1,Theory_Rev!P$7)*IF_Util,INDEX(Interface_Prod!$S$41:$AG$41,1,Theory_Rev!P$7))</f>
        <v>44640573595.0624</v>
      </c>
      <c r="AG46" s="62" t="n">
        <f aca="false">IF(ISNUMBER(INDEX(Interface_Prod!$S$41:$AG$41,1,Theory_Rev!Q$7)),INDEX(Interface_Prod!$S$41:$AG$41,1,Theory_Rev!Q$7)*IF_Util,INDEX(Interface_Prod!$S$41:$AG$41,1,Theory_Rev!Q$7))</f>
        <v>44640573595.0624</v>
      </c>
    </row>
    <row r="47" customFormat="false" ht="15" hidden="false" customHeight="false" outlineLevel="0" collapsed="false">
      <c r="A47" s="60" t="s">
        <v>1835</v>
      </c>
      <c r="B47" s="58" t="s">
        <v>2389</v>
      </c>
      <c r="C47" s="162" t="str">
        <f aca="false">IF(ISNUMBER(Theory_Rev_Prod!C46),Theory_Rev_Prod!C46*INDEX(B4_EffRef,1,3)/1000000000,Theory_Rev_Prod!C46)</f>
        <v>TTFT 不可達</v>
      </c>
      <c r="D47" s="162" t="str">
        <f aca="false">IF(ISNUMBER(Theory_Rev_Prod!D46),Theory_Rev_Prod!D46*INDEX(B4_EffRef,1,3)/1000000000,Theory_Rev_Prod!D46)</f>
        <v>TTFT 不可達</v>
      </c>
      <c r="E47" s="162" t="str">
        <f aca="false">IF(ISNUMBER(Theory_Rev_Prod!E46),Theory_Rev_Prod!E46*INDEX(B4_EffRef,1,3)/1000000000,Theory_Rev_Prod!E46)</f>
        <v>TTFT 不可達</v>
      </c>
      <c r="F47" s="162" t="n">
        <f aca="false">IF(ISNUMBER(Theory_Rev_Prod!F46),Theory_Rev_Prod!F46*INDEX(B4_EffRef,1,3)/1000000000,Theory_Rev_Prod!F46)</f>
        <v>70.8060260045462</v>
      </c>
      <c r="G47" s="162" t="n">
        <f aca="false">IF(ISNUMBER(Theory_Rev_Prod!G46),Theory_Rev_Prod!G46*INDEX(B4_EffRef,1,3)/1000000000,Theory_Rev_Prod!G46)</f>
        <v>70.8060260045462</v>
      </c>
      <c r="H47" s="162" t="n">
        <f aca="false">IF(ISNUMBER(Theory_Rev_Prod!H46),Theory_Rev_Prod!H46*INDEX(B4_EffRef,1,3)/1000000000,Theory_Rev_Prod!H46)</f>
        <v>70.8060260045462</v>
      </c>
      <c r="I47" s="162" t="n">
        <f aca="false">IF(ISNUMBER(Theory_Rev_Prod!I46),Theory_Rev_Prod!I46*INDEX(B4_EffRef,1,3)/1000000000,Theory_Rev_Prod!I46)</f>
        <v>81.6810591163036</v>
      </c>
      <c r="J47" s="162" t="n">
        <f aca="false">IF(ISNUMBER(Theory_Rev_Prod!J46),Theory_Rev_Prod!J46*INDEX(B4_EffRef,1,3)/1000000000,Theory_Rev_Prod!J46)</f>
        <v>81.6810591163036</v>
      </c>
      <c r="K47" s="162" t="n">
        <f aca="false">IF(ISNUMBER(Theory_Rev_Prod!K46),Theory_Rev_Prod!K46*INDEX(B4_EffRef,1,3)/1000000000,Theory_Rev_Prod!K46)</f>
        <v>81.6810591163036</v>
      </c>
      <c r="L47" s="162" t="n">
        <f aca="false">IF(ISNUMBER(Theory_Rev_Prod!L46),Theory_Rev_Prod!L46*INDEX(B4_EffRef,1,3)/1000000000,Theory_Rev_Prod!L46)</f>
        <v>188.934678809326</v>
      </c>
      <c r="M47" s="162" t="n">
        <f aca="false">IF(ISNUMBER(Theory_Rev_Prod!M46),Theory_Rev_Prod!M46*INDEX(B4_EffRef,1,3)/1000000000,Theory_Rev_Prod!M46)</f>
        <v>188.934678809326</v>
      </c>
      <c r="N47" s="162" t="n">
        <f aca="false">IF(ISNUMBER(Theory_Rev_Prod!N46),Theory_Rev_Prod!N46*INDEX(B4_EffRef,1,3)/1000000000,Theory_Rev_Prod!N46)</f>
        <v>188.934678809326</v>
      </c>
      <c r="O47" s="162" t="n">
        <f aca="false">IF(ISNUMBER(Theory_Rev_Prod!O46),Theory_Rev_Prod!O46*INDEX(B4_EffRef,1,3)/1000000000,Theory_Rev_Prod!O46)</f>
        <v>278.482692813541</v>
      </c>
      <c r="P47" s="162" t="n">
        <f aca="false">IF(ISNUMBER(Theory_Rev_Prod!P46),Theory_Rev_Prod!P46*INDEX(B4_EffRef,1,3)/1000000000,Theory_Rev_Prod!P46)</f>
        <v>278.482692813541</v>
      </c>
      <c r="Q47" s="162" t="n">
        <f aca="false">IF(ISNUMBER(Theory_Rev_Prod!Q46),Theory_Rev_Prod!Q46*INDEX(B4_EffRef,1,3)/1000000000,Theory_Rev_Prod!Q46)</f>
        <v>278.482692813541</v>
      </c>
      <c r="S47" s="162" t="str">
        <f aca="false">IF(ISNUMBER(Theory_Rev_Prod!S46),Theory_Rev_Prod!S46*INDEX(B4_EffRef,1,3)/1000000000,Theory_Rev_Prod!S46)</f>
        <v>TTFT 不可達</v>
      </c>
      <c r="T47" s="162" t="str">
        <f aca="false">IF(ISNUMBER(Theory_Rev_Prod!T46),Theory_Rev_Prod!T46*INDEX(B4_EffRef,1,3)/1000000000,Theory_Rev_Prod!T46)</f>
        <v>TTFT 不可達</v>
      </c>
      <c r="U47" s="162" t="str">
        <f aca="false">IF(ISNUMBER(Theory_Rev_Prod!U46),Theory_Rev_Prod!U46*INDEX(B4_EffRef,1,3)/1000000000,Theory_Rev_Prod!U46)</f>
        <v>TTFT 不可達</v>
      </c>
      <c r="V47" s="162" t="n">
        <f aca="false">IF(ISNUMBER(Theory_Rev_Prod!V46),Theory_Rev_Prod!V46*INDEX(B4_EffRef,1,3)/1000000000,Theory_Rev_Prod!V46)</f>
        <v>96.6283848132214</v>
      </c>
      <c r="W47" s="162" t="n">
        <f aca="false">IF(ISNUMBER(Theory_Rev_Prod!W46),Theory_Rev_Prod!W46*INDEX(B4_EffRef,1,3)/1000000000,Theory_Rev_Prod!W46)</f>
        <v>96.6283848132214</v>
      </c>
      <c r="X47" s="162" t="n">
        <f aca="false">IF(ISNUMBER(Theory_Rev_Prod!X46),Theory_Rev_Prod!X46*INDEX(B4_EffRef,1,3)/1000000000,Theory_Rev_Prod!X46)</f>
        <v>96.6283848132214</v>
      </c>
      <c r="Y47" s="162" t="n">
        <f aca="false">IF(ISNUMBER(Theory_Rev_Prod!Y46),Theory_Rev_Prod!Y46*INDEX(B4_EffRef,1,3)/1000000000,Theory_Rev_Prod!Y46)</f>
        <v>116.841337205439</v>
      </c>
      <c r="Z47" s="162" t="n">
        <f aca="false">IF(ISNUMBER(Theory_Rev_Prod!Z46),Theory_Rev_Prod!Z46*INDEX(B4_EffRef,1,3)/1000000000,Theory_Rev_Prod!Z46)</f>
        <v>116.841337205439</v>
      </c>
      <c r="AA47" s="162" t="n">
        <f aca="false">IF(ISNUMBER(Theory_Rev_Prod!AA46),Theory_Rev_Prod!AA46*INDEX(B4_EffRef,1,3)/1000000000,Theory_Rev_Prod!AA46)</f>
        <v>116.841337205439</v>
      </c>
      <c r="AB47" s="162" t="n">
        <f aca="false">IF(ISNUMBER(Theory_Rev_Prod!AB46),Theory_Rev_Prod!AB46*INDEX(B4_EffRef,1,3)/1000000000,Theory_Rev_Prod!AB46)</f>
        <v>246.697456312585</v>
      </c>
      <c r="AC47" s="162" t="n">
        <f aca="false">IF(ISNUMBER(Theory_Rev_Prod!AC46),Theory_Rev_Prod!AC46*INDEX(B4_EffRef,1,3)/1000000000,Theory_Rev_Prod!AC46)</f>
        <v>246.697456312585</v>
      </c>
      <c r="AD47" s="162" t="n">
        <f aca="false">IF(ISNUMBER(Theory_Rev_Prod!AD46),Theory_Rev_Prod!AD46*INDEX(B4_EffRef,1,3)/1000000000,Theory_Rev_Prod!AD46)</f>
        <v>246.697456312585</v>
      </c>
      <c r="AE47" s="162" t="n">
        <f aca="false">IF(ISNUMBER(Theory_Rev_Prod!AE46),Theory_Rev_Prod!AE46*INDEX(B4_EffRef,1,3)/1000000000,Theory_Rev_Prod!AE46)</f>
        <v>358.71180915499</v>
      </c>
      <c r="AF47" s="162" t="n">
        <f aca="false">IF(ISNUMBER(Theory_Rev_Prod!AF46),Theory_Rev_Prod!AF46*INDEX(B4_EffRef,1,3)/1000000000,Theory_Rev_Prod!AF46)</f>
        <v>358.71180915499</v>
      </c>
      <c r="AG47" s="162" t="n">
        <f aca="false">IF(ISNUMBER(Theory_Rev_Prod!AG46),Theory_Rev_Prod!AG46*INDEX(B4_EffRef,1,3)/1000000000,Theory_Rev_Prod!AG46)</f>
        <v>358.71180915499</v>
      </c>
    </row>
    <row r="53" customFormat="false" ht="15" hidden="false" customHeight="false" outlineLevel="0" collapsed="false">
      <c r="A53" s="60" t="s">
        <v>1820</v>
      </c>
      <c r="B53" s="58" t="s">
        <v>807</v>
      </c>
      <c r="C53" s="158" t="str">
        <f aca="false">Amortize_Prod!C33</f>
        <v>SLO 不可達</v>
      </c>
      <c r="D53" s="158" t="str">
        <f aca="false">Amortize_Prod!D33</f>
        <v>SLO 不可達</v>
      </c>
      <c r="E53" s="158" t="str">
        <f aca="false">Amortize_Prod!E33</f>
        <v>SLO 不可達</v>
      </c>
      <c r="F53" s="158" t="n">
        <f aca="false">Amortize_Prod!F33</f>
        <v>0.69195636564798</v>
      </c>
      <c r="G53" s="158" t="n">
        <f aca="false">Amortize_Prod!G33</f>
        <v>0.923832474189568</v>
      </c>
      <c r="H53" s="158" t="n">
        <f aca="false">Amortize_Prod!H33</f>
        <v>1.49824317188253</v>
      </c>
      <c r="I53" s="158" t="n">
        <f aca="false">Amortize_Prod!I33</f>
        <v>0.778189574375637</v>
      </c>
      <c r="J53" s="158" t="n">
        <f aca="false">Amortize_Prod!J33</f>
        <v>1.00501178330979</v>
      </c>
      <c r="K53" s="158" t="n">
        <f aca="false">Amortize_Prod!K33</f>
        <v>1.71092472615577</v>
      </c>
      <c r="L53" s="158" t="n">
        <f aca="false">Amortize_Prod!L33</f>
        <v>0.363684463990818</v>
      </c>
      <c r="M53" s="158" t="n">
        <f aca="false">Amortize_Prod!M33</f>
        <v>0.467364612124674</v>
      </c>
      <c r="N53" s="158" t="n">
        <f aca="false">Amortize_Prod!N33</f>
        <v>0.754904594344097</v>
      </c>
      <c r="O53" s="158" t="n">
        <f aca="false">Amortize_Prod!O33</f>
        <v>0.259425247110484</v>
      </c>
      <c r="P53" s="158" t="n">
        <f aca="false">Amortize_Prod!P33</f>
        <v>0.394174751660967</v>
      </c>
      <c r="Q53" s="158" t="n">
        <f aca="false">Amortize_Prod!Q33</f>
        <v>0.719398066442766</v>
      </c>
      <c r="S53" s="158" t="str">
        <f aca="false">Amortize_Prod!S33</f>
        <v>SLO 不可達</v>
      </c>
      <c r="T53" s="158" t="str">
        <f aca="false">Amortize_Prod!T33</f>
        <v>SLO 不可達</v>
      </c>
      <c r="U53" s="158" t="str">
        <f aca="false">Amortize_Prod!U33</f>
        <v>SLO 不可達</v>
      </c>
      <c r="V53" s="158" t="n">
        <f aca="false">Amortize_Prod!V33</f>
        <v>0.500258998810704</v>
      </c>
      <c r="W53" s="158" t="n">
        <f aca="false">Amortize_Prod!W33</f>
        <v>0.667876164712613</v>
      </c>
      <c r="X53" s="158" t="n">
        <f aca="false">Amortize_Prod!X33</f>
        <v>1.08310261394278</v>
      </c>
      <c r="Y53" s="158" t="n">
        <f aca="false">Amortize_Prod!Y33</f>
        <v>0.536385918424571</v>
      </c>
      <c r="Z53" s="158" t="n">
        <f aca="false">Amortize_Prod!Z33</f>
        <v>0.692708368266773</v>
      </c>
      <c r="AA53" s="158" t="n">
        <f aca="false">Amortize_Prod!AA33</f>
        <v>1.1792129355203</v>
      </c>
      <c r="AB53" s="158" t="n">
        <f aca="false">Amortize_Prod!AB33</f>
        <v>0.275196951960023</v>
      </c>
      <c r="AC53" s="158" t="n">
        <f aca="false">Amortize_Prod!AC33</f>
        <v>0.353635347542499</v>
      </c>
      <c r="AD53" s="158" t="n">
        <f aca="false">Amortize_Prod!AD33</f>
        <v>0.571171445600413</v>
      </c>
      <c r="AE53" s="158" t="n">
        <f aca="false">Amortize_Prod!AE33</f>
        <v>0.199188660250764</v>
      </c>
      <c r="AF53" s="158" t="n">
        <f aca="false">Amortize_Prod!AF33</f>
        <v>0.302623399033489</v>
      </c>
      <c r="AG53" s="158" t="n">
        <f aca="false">Amortize_Prod!AG33</f>
        <v>0.5522672750739</v>
      </c>
    </row>
    <row r="54" customFormat="false" ht="15" hidden="false" customHeight="false" outlineLevel="0" collapsed="false">
      <c r="A54" s="60" t="s">
        <v>1837</v>
      </c>
      <c r="B54" s="58" t="s">
        <v>807</v>
      </c>
      <c r="C54" s="159" t="str">
        <f aca="false">IF(AND(ISNUMBER(Theory_Rev_Prod!C53),ISNUMBER(Amortize_Prod!C32)),Theory_Rev_Prod!C53+Amortize_Prod!C32,"SLO 不可達")</f>
        <v>SLO 不可達</v>
      </c>
      <c r="D54" s="159" t="str">
        <f aca="false">IF(AND(ISNUMBER(Theory_Rev_Prod!D53),ISNUMBER(Amortize_Prod!D32)),Theory_Rev_Prod!D53+Amortize_Prod!D32,"SLO 不可達")</f>
        <v>SLO 不可達</v>
      </c>
      <c r="E54" s="159" t="str">
        <f aca="false">IF(AND(ISNUMBER(Theory_Rev_Prod!E53),ISNUMBER(Amortize_Prod!E32)),Theory_Rev_Prod!E53+Amortize_Prod!E32,"SLO 不可達")</f>
        <v>SLO 不可達</v>
      </c>
      <c r="F54" s="159" t="n">
        <f aca="false">IF(AND(ISNUMBER(Theory_Rev_Prod!F53),ISNUMBER(Amortize_Prod!F32)),Theory_Rev_Prod!F53+Amortize_Prod!F32,"SLO 不可達")</f>
        <v>1.25766742001632</v>
      </c>
      <c r="G54" s="159" t="n">
        <f aca="false">IF(AND(ISNUMBER(Theory_Rev_Prod!G53),ISNUMBER(Amortize_Prod!G32)),Theory_Rev_Prod!G53+Amortize_Prod!G32,"SLO 不可達")</f>
        <v>1.6791757326567</v>
      </c>
      <c r="H54" s="159" t="n">
        <f aca="false">IF(AND(ISNUMBER(Theory_Rev_Prod!H53),ISNUMBER(Amortize_Prod!H32)),Theory_Rev_Prod!H53+Amortize_Prod!H32,"SLO 不可達")</f>
        <v>2.72334921594475</v>
      </c>
      <c r="I54" s="159" t="n">
        <f aca="false">IF(AND(ISNUMBER(Theory_Rev_Prod!I53),ISNUMBER(Amortize_Prod!I32)),Theory_Rev_Prod!I53+Amortize_Prod!I32,"SLO 不可達")</f>
        <v>1.30458253122324</v>
      </c>
      <c r="J54" s="159" t="n">
        <f aca="false">IF(AND(ISNUMBER(Theory_Rev_Prod!J53),ISNUMBER(Amortize_Prod!J32)),Theory_Rev_Prod!J53+Amortize_Prod!J32,"SLO 不可達")</f>
        <v>1.6848787498844</v>
      </c>
      <c r="K54" s="159" t="n">
        <f aca="false">IF(AND(ISNUMBER(Theory_Rev_Prod!K53),ISNUMBER(Amortize_Prod!K32)),Theory_Rev_Prod!K53+Amortize_Prod!K32,"SLO 不可達")</f>
        <v>2.86843138403682</v>
      </c>
      <c r="L54" s="159" t="n">
        <f aca="false">IF(AND(ISNUMBER(Theory_Rev_Prod!L53),ISNUMBER(Amortize_Prod!L32)),Theory_Rev_Prod!L53+Amortize_Prod!L32,"SLO 不可達")</f>
        <v>0.550105101834505</v>
      </c>
      <c r="M54" s="159" t="n">
        <f aca="false">IF(AND(ISNUMBER(Theory_Rev_Prod!M53),ISNUMBER(Amortize_Prod!M32)),Theory_Rev_Prod!M53+Amortize_Prod!M32,"SLO 不可達")</f>
        <v>0.706963190029358</v>
      </c>
      <c r="N54" s="159" t="n">
        <f aca="false">IF(AND(ISNUMBER(Theory_Rev_Prod!N53),ISNUMBER(Amortize_Prod!N32)),Theory_Rev_Prod!N53+Amortize_Prod!N32,"SLO 不可達")</f>
        <v>1.14198351650778</v>
      </c>
      <c r="O54" s="159" t="n">
        <f aca="false">IF(AND(ISNUMBER(Theory_Rev_Prod!O53),ISNUMBER(Amortize_Prod!O32)),Theory_Rev_Prod!O53+Amortize_Prod!O32,"SLO 不可達")</f>
        <v>0.352607903361854</v>
      </c>
      <c r="P54" s="159" t="n">
        <f aca="false">IF(AND(ISNUMBER(Theory_Rev_Prod!P53),ISNUMBER(Amortize_Prod!P32)),Theory_Rev_Prod!P53+Amortize_Prod!P32,"SLO 不可達")</f>
        <v>0.535799612330799</v>
      </c>
      <c r="Q54" s="159" t="n">
        <f aca="false">IF(AND(ISNUMBER(Theory_Rev_Prod!Q53),ISNUMBER(Amortize_Prod!Q32)),Theory_Rev_Prod!Q53+Amortize_Prod!Q32,"SLO 不可達")</f>
        <v>0.97794012357181</v>
      </c>
      <c r="S54" s="159" t="str">
        <f aca="false">IF(AND(ISNUMBER(Theory_Rev_Prod!S53),ISNUMBER(Amortize_Prod!S32)),Theory_Rev_Prod!S53+Amortize_Prod!S32,"SLO 不可達")</f>
        <v>SLO 不可達</v>
      </c>
      <c r="T54" s="159" t="str">
        <f aca="false">IF(AND(ISNUMBER(Theory_Rev_Prod!T53),ISNUMBER(Amortize_Prod!T32)),Theory_Rev_Prod!T53+Amortize_Prod!T32,"SLO 不可達")</f>
        <v>SLO 不可達</v>
      </c>
      <c r="U54" s="159" t="str">
        <f aca="false">IF(AND(ISNUMBER(Theory_Rev_Prod!U53),ISNUMBER(Amortize_Prod!U32)),Theory_Rev_Prod!U53+Amortize_Prod!U32,"SLO 不可達")</f>
        <v>SLO 不可達</v>
      </c>
      <c r="V54" s="159" t="n">
        <f aca="false">IF(AND(ISNUMBER(Theory_Rev_Prod!V53),ISNUMBER(Amortize_Prod!V32)),Theory_Rev_Prod!V53+Amortize_Prod!V32,"SLO 不可達")</f>
        <v>0.902351992967805</v>
      </c>
      <c r="W54" s="159" t="n">
        <f aca="false">IF(AND(ISNUMBER(Theory_Rev_Prod!W53),ISNUMBER(Amortize_Prod!W32)),Theory_Rev_Prod!W53+Amortize_Prod!W32,"SLO 不可達")</f>
        <v>1.20475489470766</v>
      </c>
      <c r="X54" s="159" t="n">
        <f aca="false">IF(AND(ISNUMBER(Theory_Rev_Prod!X53),ISNUMBER(Amortize_Prod!X32)),Theory_Rev_Prod!X53+Amortize_Prod!X32,"SLO 不可達")</f>
        <v>1.95387675493419</v>
      </c>
      <c r="Y54" s="159" t="n">
        <f aca="false">IF(AND(ISNUMBER(Theory_Rev_Prod!Y53),ISNUMBER(Amortize_Prod!Y32)),Theory_Rev_Prod!Y53+Amortize_Prod!Y32,"SLO 不可達")</f>
        <v>0.903208960889859</v>
      </c>
      <c r="Z54" s="159" t="n">
        <f aca="false">IF(AND(ISNUMBER(Theory_Rev_Prod!Z53),ISNUMBER(Amortize_Prod!Z32)),Theory_Rev_Prod!Z53+Amortize_Prod!Z32,"SLO 不可達")</f>
        <v>1.16648155597062</v>
      </c>
      <c r="AA54" s="159" t="n">
        <f aca="false">IF(AND(ISNUMBER(Theory_Rev_Prod!AA53),ISNUMBER(Amortize_Prod!AA32)),Theory_Rev_Prod!AA53+Amortize_Prod!AA32,"SLO 不可達")</f>
        <v>1.98583488665837</v>
      </c>
      <c r="AB54" s="159" t="n">
        <f aca="false">IF(AND(ISNUMBER(Theory_Rev_Prod!AB53),ISNUMBER(Amortize_Prod!AB32)),Theory_Rev_Prod!AB53+Amortize_Prod!AB32,"SLO 不可達")</f>
        <v>0.411354577285165</v>
      </c>
      <c r="AC54" s="159" t="n">
        <f aca="false">IF(AND(ISNUMBER(Theory_Rev_Prod!AC53),ISNUMBER(Amortize_Prod!AC32)),Theory_Rev_Prod!AC53+Amortize_Prod!AC32,"SLO 不可達")</f>
        <v>0.528632996816382</v>
      </c>
      <c r="AD54" s="159" t="n">
        <f aca="false">IF(AND(ISNUMBER(Theory_Rev_Prod!AD53),ISNUMBER(Amortize_Prod!AD32)),Theory_Rev_Prod!AD53+Amortize_Prod!AD32,"SLO 不可達")</f>
        <v>0.85388556708848</v>
      </c>
      <c r="AE54" s="159" t="n">
        <f aca="false">IF(AND(ISNUMBER(Theory_Rev_Prod!AE53),ISNUMBER(Amortize_Prod!AE32)),Theory_Rev_Prod!AE53+Amortize_Prod!AE32,"SLO 不可達")</f>
        <v>0.268797402426283</v>
      </c>
      <c r="AF54" s="159" t="n">
        <f aca="false">IF(AND(ISNUMBER(Theory_Rev_Prod!AF53),ISNUMBER(Amortize_Prod!AF32)),Theory_Rev_Prod!AF53+Amortize_Prod!AF32,"SLO 不可達")</f>
        <v>0.408419142668617</v>
      </c>
      <c r="AG54" s="159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60" t="s">
        <v>1843</v>
      </c>
      <c r="B67" s="58" t="s">
        <v>2389</v>
      </c>
      <c r="C67" s="162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2.34609687931515</v>
      </c>
      <c r="D67" s="162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2.34609687931515</v>
      </c>
      <c r="E67" s="162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2.34609687931515</v>
      </c>
      <c r="F67" s="162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15.2851605558118</v>
      </c>
      <c r="G67" s="162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15.2851605558118</v>
      </c>
      <c r="H67" s="162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15.2851605558118</v>
      </c>
      <c r="I67" s="162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19.2324652424837</v>
      </c>
      <c r="J67" s="162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19.2324652424837</v>
      </c>
      <c r="K67" s="162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19.2324652424837</v>
      </c>
      <c r="L67" s="162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38.1145472754025</v>
      </c>
      <c r="M67" s="162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38.1145472754025</v>
      </c>
      <c r="N67" s="162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38.1145472754025</v>
      </c>
      <c r="O67" s="162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54.4181760054532</v>
      </c>
      <c r="P67" s="162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54.4181760054532</v>
      </c>
      <c r="Q67" s="162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54.4181760054532</v>
      </c>
      <c r="S67" s="162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3.2960508875899</v>
      </c>
      <c r="T67" s="162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3.2960508875899</v>
      </c>
      <c r="U67" s="162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3.2960508875899</v>
      </c>
      <c r="V67" s="162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20.1746158611128</v>
      </c>
      <c r="W67" s="162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20.1746158611128</v>
      </c>
      <c r="X67" s="162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20.1746158611128</v>
      </c>
      <c r="Y67" s="162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26.2652356996766</v>
      </c>
      <c r="Z67" s="162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26.2652356996766</v>
      </c>
      <c r="AA67" s="162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26.2652356996766</v>
      </c>
      <c r="AB67" s="162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48.7237019639935</v>
      </c>
      <c r="AC67" s="162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48.7237019639935</v>
      </c>
      <c r="AD67" s="162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48.7237019639935</v>
      </c>
      <c r="AE67" s="162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68.9276257152094</v>
      </c>
      <c r="AF67" s="162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68.9276257152094</v>
      </c>
      <c r="AG67" s="162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68.9276257152094</v>
      </c>
    </row>
    <row r="89" customFormat="false" ht="15" hidden="false" customHeight="false" outlineLevel="0" collapsed="false">
      <c r="A89" s="59" t="s">
        <v>2390</v>
      </c>
    </row>
    <row r="90" customFormat="false" ht="15" hidden="false" customHeight="false" outlineLevel="0" collapsed="false">
      <c r="A90" s="58" t="s">
        <v>2391</v>
      </c>
      <c r="C90" s="89" t="n">
        <f aca="false">IF(AND(ISNUMBER(S18),ISNUMBER(Theory_Rev!C18)),IF(ABS(S18-Theory_Rev!C18)&lt;=0.000000000001*MAX(1,ABS(Theory_Rev!C18)),0,1),IF(AND(NOT(ISNUMBER(S18)),NOT(ISNUMBER(Theory_Rev!C18))),0,1))</f>
        <v>0</v>
      </c>
      <c r="D90" s="89" t="n">
        <f aca="false">IF(AND(ISNUMBER(T18),ISNUMBER(Theory_Rev!D18)),IF(ABS(T18-Theory_Rev!D18)&lt;=0.000000000001*MAX(1,ABS(Theory_Rev!D18)),0,1),IF(AND(NOT(ISNUMBER(T18)),NOT(ISNUMBER(Theory_Rev!D18))),0,1))</f>
        <v>0</v>
      </c>
      <c r="E90" s="89" t="n">
        <f aca="false">IF(AND(ISNUMBER(U18),ISNUMBER(Theory_Rev!E18)),IF(ABS(U18-Theory_Rev!E18)&lt;=0.000000000001*MAX(1,ABS(Theory_Rev!E18)),0,1),IF(AND(NOT(ISNUMBER(U18)),NOT(ISNUMBER(Theory_Rev!E18))),0,1))</f>
        <v>0</v>
      </c>
      <c r="F90" s="89" t="n">
        <f aca="false">IF(AND(ISNUMBER(V18),ISNUMBER(Theory_Rev!F18)),IF(ABS(V18-Theory_Rev!F18)&lt;=0.000000000001*MAX(1,ABS(Theory_Rev!F18)),0,1),IF(AND(NOT(ISNUMBER(V18)),NOT(ISNUMBER(Theory_Rev!F18))),0,1))</f>
        <v>0</v>
      </c>
      <c r="G90" s="89" t="n">
        <f aca="false">IF(AND(ISNUMBER(W18),ISNUMBER(Theory_Rev!G18)),IF(ABS(W18-Theory_Rev!G18)&lt;=0.000000000001*MAX(1,ABS(Theory_Rev!G18)),0,1),IF(AND(NOT(ISNUMBER(W18)),NOT(ISNUMBER(Theory_Rev!G18))),0,1))</f>
        <v>0</v>
      </c>
      <c r="H90" s="89" t="n">
        <f aca="false">IF(AND(ISNUMBER(X18),ISNUMBER(Theory_Rev!H18)),IF(ABS(X18-Theory_Rev!H18)&lt;=0.000000000001*MAX(1,ABS(Theory_Rev!H18)),0,1),IF(AND(NOT(ISNUMBER(X18)),NOT(ISNUMBER(Theory_Rev!H18))),0,1))</f>
        <v>0</v>
      </c>
      <c r="I90" s="89" t="n">
        <f aca="false">IF(AND(ISNUMBER(Y18),ISNUMBER(Theory_Rev!I18)),IF(ABS(Y18-Theory_Rev!I18)&lt;=0.000000000001*MAX(1,ABS(Theory_Rev!I18)),0,1),IF(AND(NOT(ISNUMBER(Y18)),NOT(ISNUMBER(Theory_Rev!I18))),0,1))</f>
        <v>0</v>
      </c>
      <c r="J90" s="89" t="n">
        <f aca="false">IF(AND(ISNUMBER(Z18),ISNUMBER(Theory_Rev!J18)),IF(ABS(Z18-Theory_Rev!J18)&lt;=0.000000000001*MAX(1,ABS(Theory_Rev!J18)),0,1),IF(AND(NOT(ISNUMBER(Z18)),NOT(ISNUMBER(Theory_Rev!J18))),0,1))</f>
        <v>0</v>
      </c>
      <c r="K90" s="89" t="n">
        <f aca="false">IF(AND(ISNUMBER(AA18),ISNUMBER(Theory_Rev!K18)),IF(ABS(AA18-Theory_Rev!K18)&lt;=0.000000000001*MAX(1,ABS(Theory_Rev!K18)),0,1),IF(AND(NOT(ISNUMBER(AA18)),NOT(ISNUMBER(Theory_Rev!K18))),0,1))</f>
        <v>0</v>
      </c>
      <c r="L90" s="89" t="n">
        <f aca="false">IF(AND(ISNUMBER(AB18),ISNUMBER(Theory_Rev!L18)),IF(ABS(AB18-Theory_Rev!L18)&lt;=0.000000000001*MAX(1,ABS(Theory_Rev!L18)),0,1),IF(AND(NOT(ISNUMBER(AB18)),NOT(ISNUMBER(Theory_Rev!L18))),0,1))</f>
        <v>0</v>
      </c>
      <c r="M90" s="89" t="n">
        <f aca="false">IF(AND(ISNUMBER(AC18),ISNUMBER(Theory_Rev!M18)),IF(ABS(AC18-Theory_Rev!M18)&lt;=0.000000000001*MAX(1,ABS(Theory_Rev!M18)),0,1),IF(AND(NOT(ISNUMBER(AC18)),NOT(ISNUMBER(Theory_Rev!M18))),0,1))</f>
        <v>0</v>
      </c>
      <c r="N90" s="89" t="n">
        <f aca="false">IF(AND(ISNUMBER(AD18),ISNUMBER(Theory_Rev!N18)),IF(ABS(AD18-Theory_Rev!N18)&lt;=0.000000000001*MAX(1,ABS(Theory_Rev!N18)),0,1),IF(AND(NOT(ISNUMBER(AD18)),NOT(ISNUMBER(Theory_Rev!N18))),0,1))</f>
        <v>0</v>
      </c>
      <c r="O90" s="89" t="n">
        <f aca="false">IF(AND(ISNUMBER(AE18),ISNUMBER(Theory_Rev!O18)),IF(ABS(AE18-Theory_Rev!O18)&lt;=0.000000000001*MAX(1,ABS(Theory_Rev!O18)),0,1),IF(AND(NOT(ISNUMBER(AE18)),NOT(ISNUMBER(Theory_Rev!O18))),0,1))</f>
        <v>0</v>
      </c>
      <c r="P90" s="89" t="n">
        <f aca="false">IF(AND(ISNUMBER(AF18),ISNUMBER(Theory_Rev!P18)),IF(ABS(AF18-Theory_Rev!P18)&lt;=0.000000000001*MAX(1,ABS(Theory_Rev!P18)),0,1),IF(AND(NOT(ISNUMBER(AF18)),NOT(ISNUMBER(Theory_Rev!P18))),0,1))</f>
        <v>0</v>
      </c>
      <c r="Q90" s="89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8" t="s">
        <v>2392</v>
      </c>
      <c r="C91" s="89" t="n">
        <f aca="false">IF(AND(ISNUMBER(S36),ISNUMBER(Theory_Rev!C36)),IF(ABS(S36-Theory_Rev!C36)&lt;=0.000000000001*MAX(1,ABS(Theory_Rev!C36)),0,1),IF(AND(NOT(ISNUMBER(S36)),NOT(ISNUMBER(Theory_Rev!C36))),0,1))</f>
        <v>0</v>
      </c>
      <c r="D91" s="89" t="n">
        <f aca="false">IF(AND(ISNUMBER(T36),ISNUMBER(Theory_Rev!D36)),IF(ABS(T36-Theory_Rev!D36)&lt;=0.000000000001*MAX(1,ABS(Theory_Rev!D36)),0,1),IF(AND(NOT(ISNUMBER(T36)),NOT(ISNUMBER(Theory_Rev!D36))),0,1))</f>
        <v>0</v>
      </c>
      <c r="E91" s="89" t="n">
        <f aca="false">IF(AND(ISNUMBER(U36),ISNUMBER(Theory_Rev!E36)),IF(ABS(U36-Theory_Rev!E36)&lt;=0.000000000001*MAX(1,ABS(Theory_Rev!E36)),0,1),IF(AND(NOT(ISNUMBER(U36)),NOT(ISNUMBER(Theory_Rev!E36))),0,1))</f>
        <v>0</v>
      </c>
      <c r="F91" s="89" t="n">
        <f aca="false">IF(AND(ISNUMBER(V36),ISNUMBER(Theory_Rev!F36)),IF(ABS(V36-Theory_Rev!F36)&lt;=0.000000000001*MAX(1,ABS(Theory_Rev!F36)),0,1),IF(AND(NOT(ISNUMBER(V36)),NOT(ISNUMBER(Theory_Rev!F36))),0,1))</f>
        <v>0</v>
      </c>
      <c r="G91" s="89" t="n">
        <f aca="false">IF(AND(ISNUMBER(W36),ISNUMBER(Theory_Rev!G36)),IF(ABS(W36-Theory_Rev!G36)&lt;=0.000000000001*MAX(1,ABS(Theory_Rev!G36)),0,1),IF(AND(NOT(ISNUMBER(W36)),NOT(ISNUMBER(Theory_Rev!G36))),0,1))</f>
        <v>0</v>
      </c>
      <c r="H91" s="89" t="n">
        <f aca="false">IF(AND(ISNUMBER(X36),ISNUMBER(Theory_Rev!H36)),IF(ABS(X36-Theory_Rev!H36)&lt;=0.000000000001*MAX(1,ABS(Theory_Rev!H36)),0,1),IF(AND(NOT(ISNUMBER(X36)),NOT(ISNUMBER(Theory_Rev!H36))),0,1))</f>
        <v>0</v>
      </c>
      <c r="I91" s="89" t="n">
        <f aca="false">IF(AND(ISNUMBER(Y36),ISNUMBER(Theory_Rev!I36)),IF(ABS(Y36-Theory_Rev!I36)&lt;=0.000000000001*MAX(1,ABS(Theory_Rev!I36)),0,1),IF(AND(NOT(ISNUMBER(Y36)),NOT(ISNUMBER(Theory_Rev!I36))),0,1))</f>
        <v>0</v>
      </c>
      <c r="J91" s="89" t="n">
        <f aca="false">IF(AND(ISNUMBER(Z36),ISNUMBER(Theory_Rev!J36)),IF(ABS(Z36-Theory_Rev!J36)&lt;=0.000000000001*MAX(1,ABS(Theory_Rev!J36)),0,1),IF(AND(NOT(ISNUMBER(Z36)),NOT(ISNUMBER(Theory_Rev!J36))),0,1))</f>
        <v>0</v>
      </c>
      <c r="K91" s="89" t="n">
        <f aca="false">IF(AND(ISNUMBER(AA36),ISNUMBER(Theory_Rev!K36)),IF(ABS(AA36-Theory_Rev!K36)&lt;=0.000000000001*MAX(1,ABS(Theory_Rev!K36)),0,1),IF(AND(NOT(ISNUMBER(AA36)),NOT(ISNUMBER(Theory_Rev!K36))),0,1))</f>
        <v>0</v>
      </c>
      <c r="L91" s="89" t="n">
        <f aca="false">IF(AND(ISNUMBER(AB36),ISNUMBER(Theory_Rev!L36)),IF(ABS(AB36-Theory_Rev!L36)&lt;=0.000000000001*MAX(1,ABS(Theory_Rev!L36)),0,1),IF(AND(NOT(ISNUMBER(AB36)),NOT(ISNUMBER(Theory_Rev!L36))),0,1))</f>
        <v>0</v>
      </c>
      <c r="M91" s="89" t="n">
        <f aca="false">IF(AND(ISNUMBER(AC36),ISNUMBER(Theory_Rev!M36)),IF(ABS(AC36-Theory_Rev!M36)&lt;=0.000000000001*MAX(1,ABS(Theory_Rev!M36)),0,1),IF(AND(NOT(ISNUMBER(AC36)),NOT(ISNUMBER(Theory_Rev!M36))),0,1))</f>
        <v>0</v>
      </c>
      <c r="N91" s="89" t="n">
        <f aca="false">IF(AND(ISNUMBER(AD36),ISNUMBER(Theory_Rev!N36)),IF(ABS(AD36-Theory_Rev!N36)&lt;=0.000000000001*MAX(1,ABS(Theory_Rev!N36)),0,1),IF(AND(NOT(ISNUMBER(AD36)),NOT(ISNUMBER(Theory_Rev!N36))),0,1))</f>
        <v>0</v>
      </c>
      <c r="O91" s="89" t="n">
        <f aca="false">IF(AND(ISNUMBER(AE36),ISNUMBER(Theory_Rev!O36)),IF(ABS(AE36-Theory_Rev!O36)&lt;=0.000000000001*MAX(1,ABS(Theory_Rev!O36)),0,1),IF(AND(NOT(ISNUMBER(AE36)),NOT(ISNUMBER(Theory_Rev!O36))),0,1))</f>
        <v>0</v>
      </c>
      <c r="P91" s="89" t="n">
        <f aca="false">IF(AND(ISNUMBER(AF36),ISNUMBER(Theory_Rev!P36)),IF(ABS(AF36-Theory_Rev!P36)&lt;=0.000000000001*MAX(1,ABS(Theory_Rev!P36)),0,1),IF(AND(NOT(ISNUMBER(AF36)),NOT(ISNUMBER(Theory_Rev!P36))),0,1))</f>
        <v>0</v>
      </c>
      <c r="Q91" s="89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8" t="s">
        <v>2393</v>
      </c>
      <c r="C92" s="89" t="n">
        <f aca="false">IF(AND(ISNUMBER(S54),ISNUMBER(Theory_Rev!C54)),IF(ABS(S54-Theory_Rev!C54)&lt;=0.000000000001*MAX(1,ABS(Theory_Rev!C54)),0,1),IF(AND(NOT(ISNUMBER(S54)),NOT(ISNUMBER(Theory_Rev!C54))),0,1))</f>
        <v>0</v>
      </c>
      <c r="D92" s="89" t="n">
        <f aca="false">IF(AND(ISNUMBER(T54),ISNUMBER(Theory_Rev!D54)),IF(ABS(T54-Theory_Rev!D54)&lt;=0.000000000001*MAX(1,ABS(Theory_Rev!D54)),0,1),IF(AND(NOT(ISNUMBER(T54)),NOT(ISNUMBER(Theory_Rev!D54))),0,1))</f>
        <v>0</v>
      </c>
      <c r="E92" s="89" t="n">
        <f aca="false">IF(AND(ISNUMBER(U54),ISNUMBER(Theory_Rev!E54)),IF(ABS(U54-Theory_Rev!E54)&lt;=0.000000000001*MAX(1,ABS(Theory_Rev!E54)),0,1),IF(AND(NOT(ISNUMBER(U54)),NOT(ISNUMBER(Theory_Rev!E54))),0,1))</f>
        <v>0</v>
      </c>
      <c r="F92" s="89" t="n">
        <f aca="false">IF(AND(ISNUMBER(V54),ISNUMBER(Theory_Rev!F54)),IF(ABS(V54-Theory_Rev!F54)&lt;=0.000000000001*MAX(1,ABS(Theory_Rev!F54)),0,1),IF(AND(NOT(ISNUMBER(V54)),NOT(ISNUMBER(Theory_Rev!F54))),0,1))</f>
        <v>0</v>
      </c>
      <c r="G92" s="89" t="n">
        <f aca="false">IF(AND(ISNUMBER(W54),ISNUMBER(Theory_Rev!G54)),IF(ABS(W54-Theory_Rev!G54)&lt;=0.000000000001*MAX(1,ABS(Theory_Rev!G54)),0,1),IF(AND(NOT(ISNUMBER(W54)),NOT(ISNUMBER(Theory_Rev!G54))),0,1))</f>
        <v>0</v>
      </c>
      <c r="H92" s="89" t="n">
        <f aca="false">IF(AND(ISNUMBER(X54),ISNUMBER(Theory_Rev!H54)),IF(ABS(X54-Theory_Rev!H54)&lt;=0.000000000001*MAX(1,ABS(Theory_Rev!H54)),0,1),IF(AND(NOT(ISNUMBER(X54)),NOT(ISNUMBER(Theory_Rev!H54))),0,1))</f>
        <v>0</v>
      </c>
      <c r="I92" s="89" t="n">
        <f aca="false">IF(AND(ISNUMBER(Y54),ISNUMBER(Theory_Rev!I54)),IF(ABS(Y54-Theory_Rev!I54)&lt;=0.000000000001*MAX(1,ABS(Theory_Rev!I54)),0,1),IF(AND(NOT(ISNUMBER(Y54)),NOT(ISNUMBER(Theory_Rev!I54))),0,1))</f>
        <v>0</v>
      </c>
      <c r="J92" s="89" t="n">
        <f aca="false">IF(AND(ISNUMBER(Z54),ISNUMBER(Theory_Rev!J54)),IF(ABS(Z54-Theory_Rev!J54)&lt;=0.000000000001*MAX(1,ABS(Theory_Rev!J54)),0,1),IF(AND(NOT(ISNUMBER(Z54)),NOT(ISNUMBER(Theory_Rev!J54))),0,1))</f>
        <v>0</v>
      </c>
      <c r="K92" s="89" t="n">
        <f aca="false">IF(AND(ISNUMBER(AA54),ISNUMBER(Theory_Rev!K54)),IF(ABS(AA54-Theory_Rev!K54)&lt;=0.000000000001*MAX(1,ABS(Theory_Rev!K54)),0,1),IF(AND(NOT(ISNUMBER(AA54)),NOT(ISNUMBER(Theory_Rev!K54))),0,1))</f>
        <v>0</v>
      </c>
      <c r="L92" s="89" t="n">
        <f aca="false">IF(AND(ISNUMBER(AB54),ISNUMBER(Theory_Rev!L54)),IF(ABS(AB54-Theory_Rev!L54)&lt;=0.000000000001*MAX(1,ABS(Theory_Rev!L54)),0,1),IF(AND(NOT(ISNUMBER(AB54)),NOT(ISNUMBER(Theory_Rev!L54))),0,1))</f>
        <v>0</v>
      </c>
      <c r="M92" s="89" t="n">
        <f aca="false">IF(AND(ISNUMBER(AC54),ISNUMBER(Theory_Rev!M54)),IF(ABS(AC54-Theory_Rev!M54)&lt;=0.000000000001*MAX(1,ABS(Theory_Rev!M54)),0,1),IF(AND(NOT(ISNUMBER(AC54)),NOT(ISNUMBER(Theory_Rev!M54))),0,1))</f>
        <v>0</v>
      </c>
      <c r="N92" s="89" t="n">
        <f aca="false">IF(AND(ISNUMBER(AD54),ISNUMBER(Theory_Rev!N54)),IF(ABS(AD54-Theory_Rev!N54)&lt;=0.000000000001*MAX(1,ABS(Theory_Rev!N54)),0,1),IF(AND(NOT(ISNUMBER(AD54)),NOT(ISNUMBER(Theory_Rev!N54))),0,1))</f>
        <v>0</v>
      </c>
      <c r="O92" s="89" t="n">
        <f aca="false">IF(AND(ISNUMBER(AE54),ISNUMBER(Theory_Rev!O54)),IF(ABS(AE54-Theory_Rev!O54)&lt;=0.000000000001*MAX(1,ABS(Theory_Rev!O54)),0,1),IF(AND(NOT(ISNUMBER(AE54)),NOT(ISNUMBER(Theory_Rev!O54))),0,1))</f>
        <v>0</v>
      </c>
      <c r="P92" s="89" t="n">
        <f aca="false">IF(AND(ISNUMBER(AF54),ISNUMBER(Theory_Rev!P54)),IF(ABS(AF54-Theory_Rev!P54)&lt;=0.000000000001*MAX(1,ABS(Theory_Rev!P54)),0,1),IF(AND(NOT(ISNUMBER(AF54)),NOT(ISNUMBER(Theory_Rev!P54))),0,1))</f>
        <v>0</v>
      </c>
      <c r="Q92" s="89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8" t="s">
        <v>2394</v>
      </c>
      <c r="C93" s="89" t="n">
        <f aca="false">IF(AND(ISNUMBER(S11),ISNUMBER(Theory_Rev!C11)),IF(ABS(S11-Theory_Rev!C11)&lt;=0.000000000001*MAX(1,ABS(Theory_Rev!C11)),0,1),IF(AND(NOT(ISNUMBER(S11)),NOT(ISNUMBER(Theory_Rev!C11))),0,1))</f>
        <v>0</v>
      </c>
      <c r="D93" s="89" t="n">
        <f aca="false">IF(AND(ISNUMBER(T11),ISNUMBER(Theory_Rev!D11)),IF(ABS(T11-Theory_Rev!D11)&lt;=0.000000000001*MAX(1,ABS(Theory_Rev!D11)),0,1),IF(AND(NOT(ISNUMBER(T11)),NOT(ISNUMBER(Theory_Rev!D11))),0,1))</f>
        <v>0</v>
      </c>
      <c r="E93" s="89" t="n">
        <f aca="false">IF(AND(ISNUMBER(U11),ISNUMBER(Theory_Rev!E11)),IF(ABS(U11-Theory_Rev!E11)&lt;=0.000000000001*MAX(1,ABS(Theory_Rev!E11)),0,1),IF(AND(NOT(ISNUMBER(U11)),NOT(ISNUMBER(Theory_Rev!E11))),0,1))</f>
        <v>0</v>
      </c>
      <c r="F93" s="89" t="n">
        <f aca="false">IF(AND(ISNUMBER(V11),ISNUMBER(Theory_Rev!F11)),IF(ABS(V11-Theory_Rev!F11)&lt;=0.000000000001*MAX(1,ABS(Theory_Rev!F11)),0,1),IF(AND(NOT(ISNUMBER(V11)),NOT(ISNUMBER(Theory_Rev!F11))),0,1))</f>
        <v>0</v>
      </c>
      <c r="G93" s="89" t="n">
        <f aca="false">IF(AND(ISNUMBER(W11),ISNUMBER(Theory_Rev!G11)),IF(ABS(W11-Theory_Rev!G11)&lt;=0.000000000001*MAX(1,ABS(Theory_Rev!G11)),0,1),IF(AND(NOT(ISNUMBER(W11)),NOT(ISNUMBER(Theory_Rev!G11))),0,1))</f>
        <v>0</v>
      </c>
      <c r="H93" s="89" t="n">
        <f aca="false">IF(AND(ISNUMBER(X11),ISNUMBER(Theory_Rev!H11)),IF(ABS(X11-Theory_Rev!H11)&lt;=0.000000000001*MAX(1,ABS(Theory_Rev!H11)),0,1),IF(AND(NOT(ISNUMBER(X11)),NOT(ISNUMBER(Theory_Rev!H11))),0,1))</f>
        <v>0</v>
      </c>
      <c r="I93" s="89" t="n">
        <f aca="false">IF(AND(ISNUMBER(Y11),ISNUMBER(Theory_Rev!I11)),IF(ABS(Y11-Theory_Rev!I11)&lt;=0.000000000001*MAX(1,ABS(Theory_Rev!I11)),0,1),IF(AND(NOT(ISNUMBER(Y11)),NOT(ISNUMBER(Theory_Rev!I11))),0,1))</f>
        <v>0</v>
      </c>
      <c r="J93" s="89" t="n">
        <f aca="false">IF(AND(ISNUMBER(Z11),ISNUMBER(Theory_Rev!J11)),IF(ABS(Z11-Theory_Rev!J11)&lt;=0.000000000001*MAX(1,ABS(Theory_Rev!J11)),0,1),IF(AND(NOT(ISNUMBER(Z11)),NOT(ISNUMBER(Theory_Rev!J11))),0,1))</f>
        <v>0</v>
      </c>
      <c r="K93" s="89" t="n">
        <f aca="false">IF(AND(ISNUMBER(AA11),ISNUMBER(Theory_Rev!K11)),IF(ABS(AA11-Theory_Rev!K11)&lt;=0.000000000001*MAX(1,ABS(Theory_Rev!K11)),0,1),IF(AND(NOT(ISNUMBER(AA11)),NOT(ISNUMBER(Theory_Rev!K11))),0,1))</f>
        <v>0</v>
      </c>
      <c r="L93" s="89" t="n">
        <f aca="false">IF(AND(ISNUMBER(AB11),ISNUMBER(Theory_Rev!L11)),IF(ABS(AB11-Theory_Rev!L11)&lt;=0.000000000001*MAX(1,ABS(Theory_Rev!L11)),0,1),IF(AND(NOT(ISNUMBER(AB11)),NOT(ISNUMBER(Theory_Rev!L11))),0,1))</f>
        <v>0</v>
      </c>
      <c r="M93" s="89" t="n">
        <f aca="false">IF(AND(ISNUMBER(AC11),ISNUMBER(Theory_Rev!M11)),IF(ABS(AC11-Theory_Rev!M11)&lt;=0.000000000001*MAX(1,ABS(Theory_Rev!M11)),0,1),IF(AND(NOT(ISNUMBER(AC11)),NOT(ISNUMBER(Theory_Rev!M11))),0,1))</f>
        <v>0</v>
      </c>
      <c r="N93" s="89" t="n">
        <f aca="false">IF(AND(ISNUMBER(AD11),ISNUMBER(Theory_Rev!N11)),IF(ABS(AD11-Theory_Rev!N11)&lt;=0.000000000001*MAX(1,ABS(Theory_Rev!N11)),0,1),IF(AND(NOT(ISNUMBER(AD11)),NOT(ISNUMBER(Theory_Rev!N11))),0,1))</f>
        <v>0</v>
      </c>
      <c r="O93" s="89" t="n">
        <f aca="false">IF(AND(ISNUMBER(AE11),ISNUMBER(Theory_Rev!O11)),IF(ABS(AE11-Theory_Rev!O11)&lt;=0.000000000001*MAX(1,ABS(Theory_Rev!O11)),0,1),IF(AND(NOT(ISNUMBER(AE11)),NOT(ISNUMBER(Theory_Rev!O11))),0,1))</f>
        <v>0</v>
      </c>
      <c r="P93" s="89" t="n">
        <f aca="false">IF(AND(ISNUMBER(AF11),ISNUMBER(Theory_Rev!P11)),IF(ABS(AF11-Theory_Rev!P11)&lt;=0.000000000001*MAX(1,ABS(Theory_Rev!P11)),0,1),IF(AND(NOT(ISNUMBER(AF11)),NOT(ISNUMBER(Theory_Rev!P11))),0,1))</f>
        <v>0</v>
      </c>
      <c r="Q93" s="89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8" t="s">
        <v>2395</v>
      </c>
      <c r="C94" s="89" t="n">
        <f aca="false">IF(AND(ISNUMBER(S29),ISNUMBER(Theory_Rev!C29)),IF(ABS(S29-Theory_Rev!C29)&lt;=0.000000000001*MAX(1,ABS(Theory_Rev!C29)),0,1),IF(AND(NOT(ISNUMBER(S29)),NOT(ISNUMBER(Theory_Rev!C29))),0,1))</f>
        <v>0</v>
      </c>
      <c r="D94" s="89" t="n">
        <f aca="false">IF(AND(ISNUMBER(T29),ISNUMBER(Theory_Rev!D29)),IF(ABS(T29-Theory_Rev!D29)&lt;=0.000000000001*MAX(1,ABS(Theory_Rev!D29)),0,1),IF(AND(NOT(ISNUMBER(T29)),NOT(ISNUMBER(Theory_Rev!D29))),0,1))</f>
        <v>0</v>
      </c>
      <c r="E94" s="89" t="n">
        <f aca="false">IF(AND(ISNUMBER(U29),ISNUMBER(Theory_Rev!E29)),IF(ABS(U29-Theory_Rev!E29)&lt;=0.000000000001*MAX(1,ABS(Theory_Rev!E29)),0,1),IF(AND(NOT(ISNUMBER(U29)),NOT(ISNUMBER(Theory_Rev!E29))),0,1))</f>
        <v>0</v>
      </c>
      <c r="F94" s="89" t="n">
        <f aca="false">IF(AND(ISNUMBER(V29),ISNUMBER(Theory_Rev!F29)),IF(ABS(V29-Theory_Rev!F29)&lt;=0.000000000001*MAX(1,ABS(Theory_Rev!F29)),0,1),IF(AND(NOT(ISNUMBER(V29)),NOT(ISNUMBER(Theory_Rev!F29))),0,1))</f>
        <v>0</v>
      </c>
      <c r="G94" s="89" t="n">
        <f aca="false">IF(AND(ISNUMBER(W29),ISNUMBER(Theory_Rev!G29)),IF(ABS(W29-Theory_Rev!G29)&lt;=0.000000000001*MAX(1,ABS(Theory_Rev!G29)),0,1),IF(AND(NOT(ISNUMBER(W29)),NOT(ISNUMBER(Theory_Rev!G29))),0,1))</f>
        <v>0</v>
      </c>
      <c r="H94" s="89" t="n">
        <f aca="false">IF(AND(ISNUMBER(X29),ISNUMBER(Theory_Rev!H29)),IF(ABS(X29-Theory_Rev!H29)&lt;=0.000000000001*MAX(1,ABS(Theory_Rev!H29)),0,1),IF(AND(NOT(ISNUMBER(X29)),NOT(ISNUMBER(Theory_Rev!H29))),0,1))</f>
        <v>0</v>
      </c>
      <c r="I94" s="89" t="n">
        <f aca="false">IF(AND(ISNUMBER(Y29),ISNUMBER(Theory_Rev!I29)),IF(ABS(Y29-Theory_Rev!I29)&lt;=0.000000000001*MAX(1,ABS(Theory_Rev!I29)),0,1),IF(AND(NOT(ISNUMBER(Y29)),NOT(ISNUMBER(Theory_Rev!I29))),0,1))</f>
        <v>0</v>
      </c>
      <c r="J94" s="89" t="n">
        <f aca="false">IF(AND(ISNUMBER(Z29),ISNUMBER(Theory_Rev!J29)),IF(ABS(Z29-Theory_Rev!J29)&lt;=0.000000000001*MAX(1,ABS(Theory_Rev!J29)),0,1),IF(AND(NOT(ISNUMBER(Z29)),NOT(ISNUMBER(Theory_Rev!J29))),0,1))</f>
        <v>0</v>
      </c>
      <c r="K94" s="89" t="n">
        <f aca="false">IF(AND(ISNUMBER(AA29),ISNUMBER(Theory_Rev!K29)),IF(ABS(AA29-Theory_Rev!K29)&lt;=0.000000000001*MAX(1,ABS(Theory_Rev!K29)),0,1),IF(AND(NOT(ISNUMBER(AA29)),NOT(ISNUMBER(Theory_Rev!K29))),0,1))</f>
        <v>0</v>
      </c>
      <c r="L94" s="89" t="n">
        <f aca="false">IF(AND(ISNUMBER(AB29),ISNUMBER(Theory_Rev!L29)),IF(ABS(AB29-Theory_Rev!L29)&lt;=0.000000000001*MAX(1,ABS(Theory_Rev!L29)),0,1),IF(AND(NOT(ISNUMBER(AB29)),NOT(ISNUMBER(Theory_Rev!L29))),0,1))</f>
        <v>0</v>
      </c>
      <c r="M94" s="89" t="n">
        <f aca="false">IF(AND(ISNUMBER(AC29),ISNUMBER(Theory_Rev!M29)),IF(ABS(AC29-Theory_Rev!M29)&lt;=0.000000000001*MAX(1,ABS(Theory_Rev!M29)),0,1),IF(AND(NOT(ISNUMBER(AC29)),NOT(ISNUMBER(Theory_Rev!M29))),0,1))</f>
        <v>0</v>
      </c>
      <c r="N94" s="89" t="n">
        <f aca="false">IF(AND(ISNUMBER(AD29),ISNUMBER(Theory_Rev!N29)),IF(ABS(AD29-Theory_Rev!N29)&lt;=0.000000000001*MAX(1,ABS(Theory_Rev!N29)),0,1),IF(AND(NOT(ISNUMBER(AD29)),NOT(ISNUMBER(Theory_Rev!N29))),0,1))</f>
        <v>0</v>
      </c>
      <c r="O94" s="89" t="n">
        <f aca="false">IF(AND(ISNUMBER(AE29),ISNUMBER(Theory_Rev!O29)),IF(ABS(AE29-Theory_Rev!O29)&lt;=0.000000000001*MAX(1,ABS(Theory_Rev!O29)),0,1),IF(AND(NOT(ISNUMBER(AE29)),NOT(ISNUMBER(Theory_Rev!O29))),0,1))</f>
        <v>0</v>
      </c>
      <c r="P94" s="89" t="n">
        <f aca="false">IF(AND(ISNUMBER(AF29),ISNUMBER(Theory_Rev!P29)),IF(ABS(AF29-Theory_Rev!P29)&lt;=0.000000000001*MAX(1,ABS(Theory_Rev!P29)),0,1),IF(AND(NOT(ISNUMBER(AF29)),NOT(ISNUMBER(Theory_Rev!P29))),0,1))</f>
        <v>0</v>
      </c>
      <c r="Q94" s="89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8" t="s">
        <v>2396</v>
      </c>
      <c r="C95" s="89" t="n">
        <f aca="false">IF(AND(ISNUMBER(S47),ISNUMBER(Theory_Rev!C47)),IF(ABS(S47-Theory_Rev!C47)&lt;=0.000000000001*MAX(1,ABS(Theory_Rev!C47)),0,1),IF(AND(NOT(ISNUMBER(S47)),NOT(ISNUMBER(Theory_Rev!C47))),0,1))</f>
        <v>0</v>
      </c>
      <c r="D95" s="89" t="n">
        <f aca="false">IF(AND(ISNUMBER(T47),ISNUMBER(Theory_Rev!D47)),IF(ABS(T47-Theory_Rev!D47)&lt;=0.000000000001*MAX(1,ABS(Theory_Rev!D47)),0,1),IF(AND(NOT(ISNUMBER(T47)),NOT(ISNUMBER(Theory_Rev!D47))),0,1))</f>
        <v>0</v>
      </c>
      <c r="E95" s="89" t="n">
        <f aca="false">IF(AND(ISNUMBER(U47),ISNUMBER(Theory_Rev!E47)),IF(ABS(U47-Theory_Rev!E47)&lt;=0.000000000001*MAX(1,ABS(Theory_Rev!E47)),0,1),IF(AND(NOT(ISNUMBER(U47)),NOT(ISNUMBER(Theory_Rev!E47))),0,1))</f>
        <v>0</v>
      </c>
      <c r="F95" s="89" t="n">
        <f aca="false">IF(AND(ISNUMBER(V47),ISNUMBER(Theory_Rev!F47)),IF(ABS(V47-Theory_Rev!F47)&lt;=0.000000000001*MAX(1,ABS(Theory_Rev!F47)),0,1),IF(AND(NOT(ISNUMBER(V47)),NOT(ISNUMBER(Theory_Rev!F47))),0,1))</f>
        <v>0</v>
      </c>
      <c r="G95" s="89" t="n">
        <f aca="false">IF(AND(ISNUMBER(W47),ISNUMBER(Theory_Rev!G47)),IF(ABS(W47-Theory_Rev!G47)&lt;=0.000000000001*MAX(1,ABS(Theory_Rev!G47)),0,1),IF(AND(NOT(ISNUMBER(W47)),NOT(ISNUMBER(Theory_Rev!G47))),0,1))</f>
        <v>0</v>
      </c>
      <c r="H95" s="89" t="n">
        <f aca="false">IF(AND(ISNUMBER(X47),ISNUMBER(Theory_Rev!H47)),IF(ABS(X47-Theory_Rev!H47)&lt;=0.000000000001*MAX(1,ABS(Theory_Rev!H47)),0,1),IF(AND(NOT(ISNUMBER(X47)),NOT(ISNUMBER(Theory_Rev!H47))),0,1))</f>
        <v>0</v>
      </c>
      <c r="I95" s="89" t="n">
        <f aca="false">IF(AND(ISNUMBER(Y47),ISNUMBER(Theory_Rev!I47)),IF(ABS(Y47-Theory_Rev!I47)&lt;=0.000000000001*MAX(1,ABS(Theory_Rev!I47)),0,1),IF(AND(NOT(ISNUMBER(Y47)),NOT(ISNUMBER(Theory_Rev!I47))),0,1))</f>
        <v>0</v>
      </c>
      <c r="J95" s="89" t="n">
        <f aca="false">IF(AND(ISNUMBER(Z47),ISNUMBER(Theory_Rev!J47)),IF(ABS(Z47-Theory_Rev!J47)&lt;=0.000000000001*MAX(1,ABS(Theory_Rev!J47)),0,1),IF(AND(NOT(ISNUMBER(Z47)),NOT(ISNUMBER(Theory_Rev!J47))),0,1))</f>
        <v>0</v>
      </c>
      <c r="K95" s="89" t="n">
        <f aca="false">IF(AND(ISNUMBER(AA47),ISNUMBER(Theory_Rev!K47)),IF(ABS(AA47-Theory_Rev!K47)&lt;=0.000000000001*MAX(1,ABS(Theory_Rev!K47)),0,1),IF(AND(NOT(ISNUMBER(AA47)),NOT(ISNUMBER(Theory_Rev!K47))),0,1))</f>
        <v>0</v>
      </c>
      <c r="L95" s="89" t="n">
        <f aca="false">IF(AND(ISNUMBER(AB47),ISNUMBER(Theory_Rev!L47)),IF(ABS(AB47-Theory_Rev!L47)&lt;=0.000000000001*MAX(1,ABS(Theory_Rev!L47)),0,1),IF(AND(NOT(ISNUMBER(AB47)),NOT(ISNUMBER(Theory_Rev!L47))),0,1))</f>
        <v>0</v>
      </c>
      <c r="M95" s="89" t="n">
        <f aca="false">IF(AND(ISNUMBER(AC47),ISNUMBER(Theory_Rev!M47)),IF(ABS(AC47-Theory_Rev!M47)&lt;=0.000000000001*MAX(1,ABS(Theory_Rev!M47)),0,1),IF(AND(NOT(ISNUMBER(AC47)),NOT(ISNUMBER(Theory_Rev!M47))),0,1))</f>
        <v>0</v>
      </c>
      <c r="N95" s="89" t="n">
        <f aca="false">IF(AND(ISNUMBER(AD47),ISNUMBER(Theory_Rev!N47)),IF(ABS(AD47-Theory_Rev!N47)&lt;=0.000000000001*MAX(1,ABS(Theory_Rev!N47)),0,1),IF(AND(NOT(ISNUMBER(AD47)),NOT(ISNUMBER(Theory_Rev!N47))),0,1))</f>
        <v>0</v>
      </c>
      <c r="O95" s="89" t="n">
        <f aca="false">IF(AND(ISNUMBER(AE47),ISNUMBER(Theory_Rev!O47)),IF(ABS(AE47-Theory_Rev!O47)&lt;=0.000000000001*MAX(1,ABS(Theory_Rev!O47)),0,1),IF(AND(NOT(ISNUMBER(AE47)),NOT(ISNUMBER(Theory_Rev!O47))),0,1))</f>
        <v>0</v>
      </c>
      <c r="P95" s="89" t="n">
        <f aca="false">IF(AND(ISNUMBER(AF47),ISNUMBER(Theory_Rev!P47)),IF(ABS(AF47-Theory_Rev!P47)&lt;=0.000000000001*MAX(1,ABS(Theory_Rev!P47)),0,1),IF(AND(NOT(ISNUMBER(AF47)),NOT(ISNUMBER(Theory_Rev!P47))),0,1))</f>
        <v>0</v>
      </c>
      <c r="Q95" s="89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8" t="s">
        <v>2397</v>
      </c>
      <c r="C96" s="89" t="n">
        <f aca="false">IF(AND(ISNUMBER(S67),ISNUMBER(Theory_Rev!C67)),IF(ABS(S67-Theory_Rev!C67)&lt;=0.000000000001*MAX(1,ABS(Theory_Rev!C67)),0,1),IF(AND(NOT(ISNUMBER(S67)),NOT(ISNUMBER(Theory_Rev!C67))),0,1))</f>
        <v>0</v>
      </c>
      <c r="D96" s="89" t="n">
        <f aca="false">IF(AND(ISNUMBER(T67),ISNUMBER(Theory_Rev!D67)),IF(ABS(T67-Theory_Rev!D67)&lt;=0.000000000001*MAX(1,ABS(Theory_Rev!D67)),0,1),IF(AND(NOT(ISNUMBER(T67)),NOT(ISNUMBER(Theory_Rev!D67))),0,1))</f>
        <v>0</v>
      </c>
      <c r="E96" s="89" t="n">
        <f aca="false">IF(AND(ISNUMBER(U67),ISNUMBER(Theory_Rev!E67)),IF(ABS(U67-Theory_Rev!E67)&lt;=0.000000000001*MAX(1,ABS(Theory_Rev!E67)),0,1),IF(AND(NOT(ISNUMBER(U67)),NOT(ISNUMBER(Theory_Rev!E67))),0,1))</f>
        <v>0</v>
      </c>
      <c r="F96" s="89" t="n">
        <f aca="false">IF(AND(ISNUMBER(V67),ISNUMBER(Theory_Rev!F67)),IF(ABS(V67-Theory_Rev!F67)&lt;=0.000000000001*MAX(1,ABS(Theory_Rev!F67)),0,1),IF(AND(NOT(ISNUMBER(V67)),NOT(ISNUMBER(Theory_Rev!F67))),0,1))</f>
        <v>0</v>
      </c>
      <c r="G96" s="89" t="n">
        <f aca="false">IF(AND(ISNUMBER(W67),ISNUMBER(Theory_Rev!G67)),IF(ABS(W67-Theory_Rev!G67)&lt;=0.000000000001*MAX(1,ABS(Theory_Rev!G67)),0,1),IF(AND(NOT(ISNUMBER(W67)),NOT(ISNUMBER(Theory_Rev!G67))),0,1))</f>
        <v>0</v>
      </c>
      <c r="H96" s="89" t="n">
        <f aca="false">IF(AND(ISNUMBER(X67),ISNUMBER(Theory_Rev!H67)),IF(ABS(X67-Theory_Rev!H67)&lt;=0.000000000001*MAX(1,ABS(Theory_Rev!H67)),0,1),IF(AND(NOT(ISNUMBER(X67)),NOT(ISNUMBER(Theory_Rev!H67))),0,1))</f>
        <v>0</v>
      </c>
      <c r="I96" s="89" t="n">
        <f aca="false">IF(AND(ISNUMBER(Y67),ISNUMBER(Theory_Rev!I67)),IF(ABS(Y67-Theory_Rev!I67)&lt;=0.000000000001*MAX(1,ABS(Theory_Rev!I67)),0,1),IF(AND(NOT(ISNUMBER(Y67)),NOT(ISNUMBER(Theory_Rev!I67))),0,1))</f>
        <v>0</v>
      </c>
      <c r="J96" s="89" t="n">
        <f aca="false">IF(AND(ISNUMBER(Z67),ISNUMBER(Theory_Rev!J67)),IF(ABS(Z67-Theory_Rev!J67)&lt;=0.000000000001*MAX(1,ABS(Theory_Rev!J67)),0,1),IF(AND(NOT(ISNUMBER(Z67)),NOT(ISNUMBER(Theory_Rev!J67))),0,1))</f>
        <v>0</v>
      </c>
      <c r="K96" s="89" t="n">
        <f aca="false">IF(AND(ISNUMBER(AA67),ISNUMBER(Theory_Rev!K67)),IF(ABS(AA67-Theory_Rev!K67)&lt;=0.000000000001*MAX(1,ABS(Theory_Rev!K67)),0,1),IF(AND(NOT(ISNUMBER(AA67)),NOT(ISNUMBER(Theory_Rev!K67))),0,1))</f>
        <v>0</v>
      </c>
      <c r="L96" s="89" t="n">
        <f aca="false">IF(AND(ISNUMBER(AB67),ISNUMBER(Theory_Rev!L67)),IF(ABS(AB67-Theory_Rev!L67)&lt;=0.000000000001*MAX(1,ABS(Theory_Rev!L67)),0,1),IF(AND(NOT(ISNUMBER(AB67)),NOT(ISNUMBER(Theory_Rev!L67))),0,1))</f>
        <v>0</v>
      </c>
      <c r="M96" s="89" t="n">
        <f aca="false">IF(AND(ISNUMBER(AC67),ISNUMBER(Theory_Rev!M67)),IF(ABS(AC67-Theory_Rev!M67)&lt;=0.000000000001*MAX(1,ABS(Theory_Rev!M67)),0,1),IF(AND(NOT(ISNUMBER(AC67)),NOT(ISNUMBER(Theory_Rev!M67))),0,1))</f>
        <v>0</v>
      </c>
      <c r="N96" s="89" t="n">
        <f aca="false">IF(AND(ISNUMBER(AD67),ISNUMBER(Theory_Rev!N67)),IF(ABS(AD67-Theory_Rev!N67)&lt;=0.000000000001*MAX(1,ABS(Theory_Rev!N67)),0,1),IF(AND(NOT(ISNUMBER(AD67)),NOT(ISNUMBER(Theory_Rev!N67))),0,1))</f>
        <v>0</v>
      </c>
      <c r="O96" s="89" t="n">
        <f aca="false">IF(AND(ISNUMBER(AE67),ISNUMBER(Theory_Rev!O67)),IF(ABS(AE67-Theory_Rev!O67)&lt;=0.000000000001*MAX(1,ABS(Theory_Rev!O67)),0,1),IF(AND(NOT(ISNUMBER(AE67)),NOT(ISNUMBER(Theory_Rev!O67))),0,1))</f>
        <v>0</v>
      </c>
      <c r="P96" s="89" t="n">
        <f aca="false">IF(AND(ISNUMBER(AF67),ISNUMBER(Theory_Rev!P67)),IF(ABS(AF67-Theory_Rev!P67)&lt;=0.000000000001*MAX(1,ABS(Theory_Rev!P67)),0,1),IF(AND(NOT(ISNUMBER(AF67)),NOT(ISNUMBER(Theory_Rev!P67))),0,1))</f>
        <v>0</v>
      </c>
      <c r="Q96" s="89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2398</v>
      </c>
    </row>
    <row r="2" customFormat="false" ht="15" hidden="false" customHeight="true" outlineLevel="0" collapsed="false">
      <c r="A2" s="3" t="s">
        <v>2399</v>
      </c>
    </row>
    <row r="3" customFormat="false" ht="15" hidden="false" customHeight="true" outlineLevel="0" collapsed="false">
      <c r="A3" s="43" t="s">
        <v>2400</v>
      </c>
    </row>
    <row r="4" customFormat="false" ht="15" hidden="false" customHeight="true" outlineLevel="0" collapsed="false">
      <c r="A4" s="20" t="s">
        <v>2401</v>
      </c>
      <c r="B4" s="20" t="s">
        <v>83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4" t="s">
        <v>2402</v>
      </c>
      <c r="S4" s="84" t="s">
        <v>2403</v>
      </c>
      <c r="T4" s="83" t="s">
        <v>2404</v>
      </c>
      <c r="U4" s="83" t="s">
        <v>2405</v>
      </c>
      <c r="V4" s="83" t="s">
        <v>2406</v>
      </c>
      <c r="W4" s="83" t="s">
        <v>2407</v>
      </c>
      <c r="X4" s="83" t="s">
        <v>2408</v>
      </c>
      <c r="Y4" s="83" t="s">
        <v>2409</v>
      </c>
    </row>
    <row r="5" customFormat="false" ht="15" hidden="false" customHeight="true" outlineLevel="0" collapsed="false">
      <c r="A5" s="20" t="s">
        <v>28</v>
      </c>
      <c r="C5" s="34" t="s">
        <v>84</v>
      </c>
      <c r="D5" s="34" t="s">
        <v>85</v>
      </c>
      <c r="E5" s="34" t="s">
        <v>86</v>
      </c>
      <c r="F5" s="34" t="s">
        <v>84</v>
      </c>
      <c r="G5" s="34" t="s">
        <v>85</v>
      </c>
      <c r="H5" s="34" t="s">
        <v>86</v>
      </c>
      <c r="I5" s="34" t="s">
        <v>84</v>
      </c>
      <c r="J5" s="34" t="s">
        <v>85</v>
      </c>
      <c r="K5" s="34" t="s">
        <v>86</v>
      </c>
      <c r="L5" s="34" t="s">
        <v>84</v>
      </c>
      <c r="M5" s="34" t="s">
        <v>85</v>
      </c>
      <c r="N5" s="34" t="s">
        <v>86</v>
      </c>
      <c r="O5" s="34" t="s">
        <v>84</v>
      </c>
      <c r="P5" s="34" t="s">
        <v>85</v>
      </c>
      <c r="Q5" s="34" t="s">
        <v>86</v>
      </c>
    </row>
    <row r="6" customFormat="false" ht="15" hidden="false" customHeight="true" outlineLevel="0" collapsed="false">
      <c r="A6" s="20" t="s">
        <v>2410</v>
      </c>
      <c r="B6" s="21" t="s">
        <v>741</v>
      </c>
      <c r="C6" s="27" t="n">
        <f aca="false">(DC_Cost!C12)/CTL_GW</f>
        <v>22439</v>
      </c>
      <c r="D6" s="176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76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76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76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76" t="n">
        <f aca="false">(DC_Cost!P12)/CTL_GW</f>
        <v>2705</v>
      </c>
      <c r="Q6" s="27" t="n">
        <f aca="false">(DC_Cost!Q12)/CTL_GW</f>
        <v>2705</v>
      </c>
      <c r="R6" s="177" t="str">
        <f aca="false">IF(SUM(Gov_Map!$AG$5:$AG$7,Gov_Map!$AG$74:$AG$88)&gt;0,"C",IF(SUM(Gov_Map!$AH$5:$AH$7,Gov_Map!$AH$74:$AH$88)&gt;0,"B","A"))</f>
        <v>B</v>
      </c>
      <c r="S6" s="42" t="str">
        <f aca="false">IF(R6="—","—",IF(R6="A","基準輸入",IF(R6="B","情境、相對比較、反轉門檻","探索")))</f>
        <v>情境、相對比較、反轉門檻</v>
      </c>
      <c r="T6" s="28" t="s">
        <v>620</v>
      </c>
      <c r="U6" s="42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3" t="s">
        <v>2411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2412</v>
      </c>
      <c r="B7" s="21" t="s">
        <v>735</v>
      </c>
      <c r="C7" s="27" t="n">
        <f aca="false">(DC_Cost!C14)/CTL_GW</f>
        <v>718048</v>
      </c>
      <c r="D7" s="176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76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76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76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76" t="n">
        <f aca="false">(DC_Cost!P14)/CTL_GW</f>
        <v>194760</v>
      </c>
      <c r="Q7" s="27" t="n">
        <f aca="false">(DC_Cost!Q14)/CTL_GW</f>
        <v>194760</v>
      </c>
      <c r="R7" s="177" t="str">
        <f aca="false">IF(SUM(Gov_Map!$AG$5:$AG$7,Gov_Map!$AG$69:$AG$88)&gt;0,"C",IF(SUM(Gov_Map!$AH$5:$AH$7,Gov_Map!$AH$69:$AH$88)&gt;0,"B","A"))</f>
        <v>B</v>
      </c>
      <c r="S7" s="42" t="str">
        <f aca="false">IF(R7="—","—",IF(R7="A","基準輸入",IF(R7="B","情境、相對比較、反轉門檻","探索")))</f>
        <v>情境、相對比較、反轉門檻</v>
      </c>
      <c r="T7" s="28" t="s">
        <v>620</v>
      </c>
      <c r="U7" s="42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3" t="s">
        <v>2413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2414</v>
      </c>
      <c r="B8" s="16" t="s">
        <v>91</v>
      </c>
      <c r="C8" s="130" t="n">
        <f aca="false">(DC_Cost!C16/1000)/CTL_GW</f>
        <v>1.1</v>
      </c>
      <c r="D8" s="178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78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78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78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78" t="n">
        <f aca="false">(DC_Cost!P16/1000)/CTL_GW</f>
        <v>1.2</v>
      </c>
      <c r="Q8" s="130" t="n">
        <f aca="false">(DC_Cost!Q16/1000)/CTL_GW</f>
        <v>1.3</v>
      </c>
      <c r="R8" s="177" t="str">
        <f aca="false">IF(SUM(Gov_Map!$AG$5,Gov_Map!$AG$8:$AG$10)&gt;0,"C",IF(SUM(Gov_Map!$AH$5,Gov_Map!$AH$8:$AH$10)&gt;0,"B","A"))</f>
        <v>A</v>
      </c>
      <c r="S8" s="42" t="str">
        <f aca="false">IF(R8="—","—",IF(R8="A","基準輸入",IF(R8="B","情境、相對比較、反轉門檻","探索")))</f>
        <v>基準輸入</v>
      </c>
      <c r="T8" s="28" t="s">
        <v>620</v>
      </c>
      <c r="U8" s="42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3" t="s">
        <v>2415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2416</v>
      </c>
      <c r="B9" s="16" t="s">
        <v>879</v>
      </c>
      <c r="C9" s="36" t="n">
        <f aca="false">(DC_Cost!C24)/CTL_GW</f>
        <v>21.4202694</v>
      </c>
      <c r="D9" s="179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79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79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79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79" t="n">
        <f aca="false">(DC_Cost!P24)/CTL_GW</f>
        <v>50.08578</v>
      </c>
      <c r="Q9" s="36" t="n">
        <f aca="false">(DC_Cost!Q24)/CTL_GW</f>
        <v>65.481558</v>
      </c>
      <c r="R9" s="177" t="str">
        <f aca="false">IF(SUM(Gov_Map!$AG$5:$AG$7,Gov_Map!$AG$17:$AG$22,Gov_Map!$AG$69:$AG$103)&gt;0,"C",IF(SUM(Gov_Map!$AH$5:$AH$7,Gov_Map!$AH$17:$AH$22,Gov_Map!$AH$69:$AH$103)&gt;0,"B","A"))</f>
        <v>B</v>
      </c>
      <c r="S9" s="42" t="str">
        <f aca="false">IF(R9="—","—",IF(R9="A","基準輸入",IF(R9="B","情境、相對比較、反轉門檻","探索")))</f>
        <v>情境、相對比較、反轉門檻</v>
      </c>
      <c r="T9" s="28" t="s">
        <v>620</v>
      </c>
      <c r="U9" s="42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3" t="s">
        <v>2417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2418</v>
      </c>
      <c r="B10" s="16" t="s">
        <v>879</v>
      </c>
      <c r="C10" s="36" t="n">
        <f aca="false">(DC_Cost!C32)/CTL_GW</f>
        <v>10.212</v>
      </c>
      <c r="D10" s="179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79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79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79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79" t="n">
        <f aca="false">(DC_Cost!P32)/CTL_GW</f>
        <v>12.67</v>
      </c>
      <c r="Q10" s="36" t="n">
        <f aca="false">(DC_Cost!Q32)/CTL_GW</f>
        <v>16.186</v>
      </c>
      <c r="R10" s="177" t="str">
        <f aca="false">IF(SUM(Gov_Map!$AG$5,Gov_Map!$AG$23:$AG$40)&gt;0,"C",IF(SUM(Gov_Map!$AH$5,Gov_Map!$AH$23:$AH$40)&gt;0,"B","A"))</f>
        <v>A</v>
      </c>
      <c r="S10" s="42" t="str">
        <f aca="false">IF(R10="—","—",IF(R10="A","基準輸入",IF(R10="B","情境、相對比較、反轉門檻","探索")))</f>
        <v>基準輸入</v>
      </c>
      <c r="T10" s="28" t="s">
        <v>620</v>
      </c>
      <c r="U10" s="42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3" t="s">
        <v>2419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2420</v>
      </c>
      <c r="B11" s="16" t="s">
        <v>879</v>
      </c>
      <c r="C11" s="36" t="n">
        <f aca="false">(DC_Cost!C33)/CTL_GW</f>
        <v>31.6322694</v>
      </c>
      <c r="D11" s="179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79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79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79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79" t="n">
        <f aca="false">(DC_Cost!P33)/CTL_GW</f>
        <v>62.75578</v>
      </c>
      <c r="Q11" s="36" t="n">
        <f aca="false">(DC_Cost!Q33)/CTL_GW</f>
        <v>81.667558</v>
      </c>
      <c r="R11" s="177" t="str">
        <f aca="false">IF(SUM(Gov_Map!$AG$5:$AG$7,Gov_Map!$AG$17:$AG$40,Gov_Map!$AG$69:$AG$103)&gt;0,"C",IF(SUM(Gov_Map!$AH$5:$AH$7,Gov_Map!$AH$17:$AH$40,Gov_Map!$AH$69:$AH$103)&gt;0,"B","A"))</f>
        <v>B</v>
      </c>
      <c r="S11" s="42" t="str">
        <f aca="false">IF(R11="—","—",IF(R11="A","基準輸入",IF(R11="B","情境、相對比較、反轉門檻","探索")))</f>
        <v>情境、相對比較、反轉門檻</v>
      </c>
      <c r="T11" s="28" t="s">
        <v>620</v>
      </c>
      <c r="U11" s="42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3" t="s">
        <v>2421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2422</v>
      </c>
      <c r="B12" s="16" t="s">
        <v>2423</v>
      </c>
      <c r="C12" s="180" t="n">
        <f aca="false">(DC_Cost!C49)/CTL_GW</f>
        <v>5.19000377241587</v>
      </c>
      <c r="D12" s="181" t="n">
        <f aca="false">(DC_Cost!D49)/CTL_GW</f>
        <v>7.10411981353067</v>
      </c>
      <c r="E12" s="180" t="n">
        <f aca="false">(DC_Cost!E49)/CTL_GW</f>
        <v>12.2070705365445</v>
      </c>
      <c r="F12" s="180" t="n">
        <f aca="false">(DC_Cost!F49)/CTL_GW</f>
        <v>5.04951503784896</v>
      </c>
      <c r="G12" s="181" t="n">
        <f aca="false">(DC_Cost!G49)/CTL_GW</f>
        <v>6.44917840537967</v>
      </c>
      <c r="H12" s="180" t="n">
        <f aca="false">(DC_Cost!H49)/CTL_GW</f>
        <v>10.4195985807088</v>
      </c>
      <c r="I12" s="180" t="n">
        <f aca="false">(DC_Cost!I49)/CTL_GW</f>
        <v>6.47360284700915</v>
      </c>
      <c r="J12" s="181" t="n">
        <f aca="false">(DC_Cost!J49)/CTL_GW</f>
        <v>7.98992214647791</v>
      </c>
      <c r="K12" s="180" t="n">
        <f aca="false">(DC_Cost!K49)/CTL_GW</f>
        <v>13.6330236684808</v>
      </c>
      <c r="L12" s="180" t="n">
        <f aca="false">(DC_Cost!L49)/CTL_GW</f>
        <v>7.32251312176997</v>
      </c>
      <c r="M12" s="181" t="n">
        <f aca="false">(DC_Cost!M49)/CTL_GW</f>
        <v>8.9923042149807</v>
      </c>
      <c r="N12" s="180" t="n">
        <f aca="false">(DC_Cost!N49)/CTL_GW</f>
        <v>14.5598263108425</v>
      </c>
      <c r="O12" s="180" t="n">
        <f aca="false">(DC_Cost!O49)/CTL_GW</f>
        <v>7.78527570436843</v>
      </c>
      <c r="P12" s="181" t="n">
        <f aca="false">(DC_Cost!P49)/CTL_GW</f>
        <v>11.3345929943372</v>
      </c>
      <c r="Q12" s="180" t="n">
        <f aca="false">(DC_Cost!Q49)/CTL_GW</f>
        <v>20.8704255692031</v>
      </c>
      <c r="R12" s="177" t="str">
        <f aca="false">IF(SUM(Gov_Map!$AG$5:$AG$103,Gov_Map!$AG$605:$AG$611)&gt;0,"C",IF(SUM(Gov_Map!$AH$5:$AH$103,Gov_Map!$AH$605:$AH$611)&gt;0,"B","A"))</f>
        <v>B</v>
      </c>
      <c r="S12" s="42" t="str">
        <f aca="false">IF(R12="—","—",IF(R12="A","基準輸入",IF(R12="B","情境、相對比較、反轉門檻","探索")))</f>
        <v>情境、相對比較、反轉門檻</v>
      </c>
      <c r="T12" s="28" t="s">
        <v>620</v>
      </c>
      <c r="U12" s="42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3" t="s">
        <v>2424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2425</v>
      </c>
      <c r="B13" s="16" t="s">
        <v>2423</v>
      </c>
      <c r="C13" s="180" t="n">
        <f aca="false">(DC_Cost!C55)/CTL_GW</f>
        <v>6.79107465326444</v>
      </c>
      <c r="D13" s="181" t="n">
        <f aca="false">(DC_Cost!D55)/CTL_GW</f>
        <v>9.70308728611469</v>
      </c>
      <c r="E13" s="180" t="n">
        <f aca="false">(DC_Cost!E55)/CTL_GW</f>
        <v>16.6637697337026</v>
      </c>
      <c r="F13" s="180" t="n">
        <f aca="false">(DC_Cost!F55)/CTL_GW</f>
        <v>6.6118162762144</v>
      </c>
      <c r="G13" s="181" t="n">
        <f aca="false">(DC_Cost!G55)/CTL_GW</f>
        <v>8.82816556596761</v>
      </c>
      <c r="H13" s="180" t="n">
        <f aca="false">(DC_Cost!H55)/CTL_GW</f>
        <v>14.3185748619737</v>
      </c>
      <c r="I13" s="180" t="n">
        <f aca="false">(DC_Cost!I55)/CTL_GW</f>
        <v>8.42889912085495</v>
      </c>
      <c r="J13" s="181" t="n">
        <f aca="false">(DC_Cost!J55)/CTL_GW</f>
        <v>10.8864110021101</v>
      </c>
      <c r="K13" s="180" t="n">
        <f aca="false">(DC_Cost!K55)/CTL_GW</f>
        <v>18.5346455040469</v>
      </c>
      <c r="L13" s="180" t="n">
        <f aca="false">(DC_Cost!L55)/CTL_GW</f>
        <v>9.51207691858967</v>
      </c>
      <c r="M13" s="181" t="n">
        <f aca="false">(DC_Cost!M55)/CTL_GW</f>
        <v>12.2254710045841</v>
      </c>
      <c r="N13" s="180" t="n">
        <f aca="false">(DC_Cost!N55)/CTL_GW</f>
        <v>19.7506269894487</v>
      </c>
      <c r="O13" s="180" t="n">
        <f aca="false">(DC_Cost!O55)/CTL_GW</f>
        <v>10.1025446864987</v>
      </c>
      <c r="P13" s="181" t="n">
        <f aca="false">(DC_Cost!P55)/CTL_GW</f>
        <v>15.3544827030524</v>
      </c>
      <c r="Q13" s="180" t="n">
        <f aca="false">(DC_Cost!Q55)/CTL_GW</f>
        <v>28.0302450108258</v>
      </c>
      <c r="R13" s="177" t="str">
        <f aca="false">IF(SUM(Gov_Map!$AG$5:$AG$103,Gov_Map!$AG$605:$AG$611)&gt;0,"C",IF(SUM(Gov_Map!$AH$5:$AH$103,Gov_Map!$AH$605:$AH$611)&gt;0,"B","A"))</f>
        <v>B</v>
      </c>
      <c r="S13" s="42" t="str">
        <f aca="false">IF(R13="—","—",IF(R13="A","基準輸入",IF(R13="B","情境、相對比較、反轉門檻","探索")))</f>
        <v>情境、相對比較、反轉門檻</v>
      </c>
      <c r="T13" s="28" t="s">
        <v>620</v>
      </c>
      <c r="U13" s="42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3" t="s">
        <v>2424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911</v>
      </c>
      <c r="B14" s="16" t="s">
        <v>852</v>
      </c>
      <c r="C14" s="180" t="n">
        <f aca="false">DC_Cost!C58</f>
        <v>1.07964486018265</v>
      </c>
      <c r="D14" s="181" t="n">
        <f aca="false">DC_Cost!D58</f>
        <v>1.54259654785589</v>
      </c>
      <c r="E14" s="180" t="n">
        <f aca="false">DC_Cost!E58</f>
        <v>2.64920565047995</v>
      </c>
      <c r="F14" s="180" t="n">
        <f aca="false">DC_Cost!F58</f>
        <v>1.50422814430785</v>
      </c>
      <c r="G14" s="181" t="n">
        <f aca="false">DC_Cost!G58</f>
        <v>2.00846099652078</v>
      </c>
      <c r="H14" s="180" t="n">
        <f aca="false">DC_Cost!H58</f>
        <v>3.25756227849869</v>
      </c>
      <c r="I14" s="180" t="n">
        <f aca="false">DC_Cost!I58</f>
        <v>1.97574392204647</v>
      </c>
      <c r="J14" s="181" t="n">
        <f aca="false">DC_Cost!J58</f>
        <v>2.55178761329595</v>
      </c>
      <c r="K14" s="180" t="n">
        <f aca="false">DC_Cost!K58</f>
        <v>4.34454282544458</v>
      </c>
      <c r="L14" s="180" t="n">
        <f aca="false">DC_Cost!L58</f>
        <v>3.72193954123947</v>
      </c>
      <c r="M14" s="181" t="n">
        <f aca="false">DC_Cost!M58</f>
        <v>4.78365180724219</v>
      </c>
      <c r="N14" s="180" t="n">
        <f aca="false">DC_Cost!N58</f>
        <v>7.72813762813851</v>
      </c>
      <c r="O14" s="180" t="n">
        <f aca="false">DC_Cost!O58</f>
        <v>5.92143420546319</v>
      </c>
      <c r="P14" s="181" t="n">
        <f aca="false">DC_Cost!P58</f>
        <v>8.99976806898525</v>
      </c>
      <c r="Q14" s="180" t="n">
        <f aca="false">DC_Cost!Q58</f>
        <v>16.4294498807254</v>
      </c>
      <c r="R14" s="177" t="str">
        <f aca="false">IF(SUM(Gov_Map!$AG$5:$AG$103,Gov_Map!$AG$605:$AG$611)&gt;0,"C",IF(SUM(Gov_Map!$AH$5:$AH$103,Gov_Map!$AH$605:$AH$611)&gt;0,"B","A"))</f>
        <v>B</v>
      </c>
      <c r="S14" s="42" t="str">
        <f aca="false">IF(R14="—","—",IF(R14="A","基準輸入",IF(R14="B","情境、相對比較、反轉門檻","探索")))</f>
        <v>情境、相對比較、反轉門檻</v>
      </c>
      <c r="T14" s="28" t="s">
        <v>620</v>
      </c>
      <c r="U14" s="42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3" t="s">
        <v>2424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2426</v>
      </c>
      <c r="B15" s="16" t="s">
        <v>2423</v>
      </c>
      <c r="C15" s="180" t="n">
        <f aca="false">(DC_Cost!C43)/CTL_GW</f>
        <v>0.404712</v>
      </c>
      <c r="D15" s="181" t="n">
        <f aca="false">(DC_Cost!D43)/CTL_GW</f>
        <v>0.672768</v>
      </c>
      <c r="E15" s="180" t="n">
        <f aca="false">(DC_Cost!E43)/CTL_GW</f>
        <v>1.02492</v>
      </c>
      <c r="F15" s="180" t="n">
        <f aca="false">(DC_Cost!F43)/CTL_GW</f>
        <v>0.404712</v>
      </c>
      <c r="G15" s="181" t="n">
        <f aca="false">(DC_Cost!G43)/CTL_GW</f>
        <v>0.672768</v>
      </c>
      <c r="H15" s="180" t="n">
        <f aca="false">(DC_Cost!H43)/CTL_GW</f>
        <v>1.02492</v>
      </c>
      <c r="I15" s="180" t="n">
        <f aca="false">(DC_Cost!I43)/CTL_GW</f>
        <v>0.404712</v>
      </c>
      <c r="J15" s="181" t="n">
        <f aca="false">(DC_Cost!J43)/CTL_GW</f>
        <v>0.672768</v>
      </c>
      <c r="K15" s="180" t="n">
        <f aca="false">(DC_Cost!K43)/CTL_GW</f>
        <v>1.02492</v>
      </c>
      <c r="L15" s="180" t="n">
        <f aca="false">(DC_Cost!L43)/CTL_GW</f>
        <v>0.404712</v>
      </c>
      <c r="M15" s="181" t="n">
        <f aca="false">(DC_Cost!M43)/CTL_GW</f>
        <v>0.672768</v>
      </c>
      <c r="N15" s="180" t="n">
        <f aca="false">(DC_Cost!N43)/CTL_GW</f>
        <v>1.02492</v>
      </c>
      <c r="O15" s="180" t="n">
        <f aca="false">(DC_Cost!O43)/CTL_GW</f>
        <v>0.404712</v>
      </c>
      <c r="P15" s="181" t="n">
        <f aca="false">(DC_Cost!P43)/CTL_GW</f>
        <v>0.672768</v>
      </c>
      <c r="Q15" s="180" t="n">
        <f aca="false">(DC_Cost!Q43)/CTL_GW</f>
        <v>1.02492</v>
      </c>
      <c r="R15" s="177" t="str">
        <f aca="false">IF(SUM(Gov_Map!$AG$5,Gov_Map!$AG$8:$AG$16)&gt;0,"C",IF(SUM(Gov_Map!$AH$5,Gov_Map!$AH$8:$AH$16)&gt;0,"B","A"))</f>
        <v>A</v>
      </c>
      <c r="S15" s="42" t="str">
        <f aca="false">IF(R15="—","—",IF(R15="A","基準輸入",IF(R15="B","情境、相對比較、反轉門檻","探索")))</f>
        <v>基準輸入</v>
      </c>
      <c r="T15" s="28" t="s">
        <v>620</v>
      </c>
      <c r="U15" s="42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3" t="s">
        <v>2427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82" t="s">
        <v>2428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262</v>
      </c>
      <c r="C18" s="11"/>
    </row>
    <row r="19" customFormat="false" ht="15" hidden="false" customHeight="true" outlineLevel="0" collapsed="false">
      <c r="A19" s="183" t="s">
        <v>2429</v>
      </c>
      <c r="B19" s="28" t="s">
        <v>372</v>
      </c>
      <c r="C19" s="27" t="n">
        <f aca="false">INDEX(Perf!$C$95:$Q$95,3*(Unit_Cost!C$6-1)+1)</f>
        <v>90522.5736432564</v>
      </c>
      <c r="D19" s="47" t="n">
        <f aca="false">INDEX(Perf!$C$95:$Q$95,3*(Unit_Cost!D$6-1)+1)</f>
        <v>90522.5736432564</v>
      </c>
      <c r="E19" s="47" t="n">
        <f aca="false">INDEX(Perf!$C$95:$Q$95,3*(Unit_Cost!E$6-1)+1)</f>
        <v>90522.5736432564</v>
      </c>
      <c r="F19" s="47" t="n">
        <f aca="false">INDEX(Perf!$C$95:$Q$95,3*(Unit_Cost!F$6-1)+1)</f>
        <v>1648540.14144621</v>
      </c>
      <c r="G19" s="47" t="n">
        <f aca="false">INDEX(Perf!$C$95:$Q$95,3*(Unit_Cost!G$6-1)+1)</f>
        <v>1648540.14144621</v>
      </c>
      <c r="H19" s="47" t="n">
        <f aca="false">INDEX(Perf!$C$95:$Q$95,3*(Unit_Cost!H$6-1)+1)</f>
        <v>1648540.14144621</v>
      </c>
      <c r="I19" s="47" t="n">
        <f aca="false">INDEX(Perf!$C$95:$Q$95,3*(Unit_Cost!I$6-1)+1)</f>
        <v>2472810.21216931</v>
      </c>
      <c r="J19" s="47" t="n">
        <f aca="false">INDEX(Perf!$C$95:$Q$95,3*(Unit_Cost!J$6-1)+1)</f>
        <v>2472810.21216931</v>
      </c>
      <c r="K19" s="47" t="n">
        <f aca="false">INDEX(Perf!$C$95:$Q$95,3*(Unit_Cost!K$6-1)+1)</f>
        <v>2472810.21216931</v>
      </c>
      <c r="L19" s="47" t="n">
        <f aca="false">INDEX(Perf!$C$95:$Q$95,3*(Unit_Cost!L$6-1)+1)</f>
        <v>6047542.53332882</v>
      </c>
      <c r="M19" s="47" t="n">
        <f aca="false">INDEX(Perf!$C$95:$Q$95,3*(Unit_Cost!M$6-1)+1)</f>
        <v>6047542.53332882</v>
      </c>
      <c r="N19" s="47" t="n">
        <f aca="false">INDEX(Perf!$C$95:$Q$95,3*(Unit_Cost!N$6-1)+1)</f>
        <v>6047542.53332882</v>
      </c>
      <c r="O19" s="47" t="n">
        <f aca="false">INDEX(Perf!$C$95:$Q$95,3*(Unit_Cost!O$6-1)+1)</f>
        <v>12242836.6707437</v>
      </c>
      <c r="P19" s="47" t="n">
        <f aca="false">INDEX(Perf!$C$95:$Q$95,3*(Unit_Cost!P$6-1)+1)</f>
        <v>12242836.6707437</v>
      </c>
      <c r="Q19" s="47" t="n">
        <f aca="false">INDEX(Perf!$C$95:$Q$95,3*(Unit_Cost!Q$6-1)+1)</f>
        <v>12242836.6707437</v>
      </c>
      <c r="R19" s="17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19" s="42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2430</v>
      </c>
      <c r="U19" s="42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19" s="53" t="s">
        <v>2431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3" t="s">
        <v>2432</v>
      </c>
      <c r="B20" s="28" t="s">
        <v>372</v>
      </c>
      <c r="C20" s="27" t="n">
        <f aca="false">INDEX(Perf!$C$96:$Q$96,3*(Unit_Cost!C$6-1)+1)</f>
        <v>10058.0637381396</v>
      </c>
      <c r="D20" s="47" t="n">
        <f aca="false">INDEX(Perf!$C$96:$Q$96,3*(Unit_Cost!D$6-1)+1)</f>
        <v>10058.0637381396</v>
      </c>
      <c r="E20" s="47" t="n">
        <f aca="false">INDEX(Perf!$C$96:$Q$96,3*(Unit_Cost!E$6-1)+1)</f>
        <v>10058.0637381396</v>
      </c>
      <c r="F20" s="47" t="n">
        <f aca="false">INDEX(Perf!$C$96:$Q$96,3*(Unit_Cost!F$6-1)+1)</f>
        <v>183171.126827357</v>
      </c>
      <c r="G20" s="47" t="n">
        <f aca="false">INDEX(Perf!$C$96:$Q$96,3*(Unit_Cost!G$6-1)+1)</f>
        <v>183171.126827357</v>
      </c>
      <c r="H20" s="47" t="n">
        <f aca="false">INDEX(Perf!$C$96:$Q$96,3*(Unit_Cost!H$6-1)+1)</f>
        <v>183171.126827357</v>
      </c>
      <c r="I20" s="47" t="n">
        <f aca="false">INDEX(Perf!$C$96:$Q$96,3*(Unit_Cost!I$6-1)+1)</f>
        <v>274756.690241035</v>
      </c>
      <c r="J20" s="47" t="n">
        <f aca="false">INDEX(Perf!$C$96:$Q$96,3*(Unit_Cost!J$6-1)+1)</f>
        <v>274756.690241035</v>
      </c>
      <c r="K20" s="47" t="n">
        <f aca="false">INDEX(Perf!$C$96:$Q$96,3*(Unit_Cost!K$6-1)+1)</f>
        <v>274756.690241035</v>
      </c>
      <c r="L20" s="47" t="n">
        <f aca="false">INDEX(Perf!$C$96:$Q$96,3*(Unit_Cost!L$6-1)+1)</f>
        <v>671949.170369869</v>
      </c>
      <c r="M20" s="47" t="n">
        <f aca="false">INDEX(Perf!$C$96:$Q$96,3*(Unit_Cost!M$6-1)+1)</f>
        <v>671949.170369869</v>
      </c>
      <c r="N20" s="47" t="n">
        <f aca="false">INDEX(Perf!$C$96:$Q$96,3*(Unit_Cost!N$6-1)+1)</f>
        <v>671949.170369869</v>
      </c>
      <c r="O20" s="47" t="n">
        <f aca="false">INDEX(Perf!$C$96:$Q$96,3*(Unit_Cost!O$6-1)+1)</f>
        <v>1360315.18563819</v>
      </c>
      <c r="P20" s="47" t="n">
        <f aca="false">INDEX(Perf!$C$96:$Q$96,3*(Unit_Cost!P$6-1)+1)</f>
        <v>1360315.18563819</v>
      </c>
      <c r="Q20" s="47" t="n">
        <f aca="false">INDEX(Perf!$C$96:$Q$96,3*(Unit_Cost!Q$6-1)+1)</f>
        <v>1360315.18563819</v>
      </c>
      <c r="R20" s="17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0" s="42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2430</v>
      </c>
      <c r="U20" s="42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0" s="53" t="s">
        <v>2431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3" t="s">
        <v>2371</v>
      </c>
      <c r="B21" s="28" t="s">
        <v>799</v>
      </c>
      <c r="C21" s="176" t="n">
        <f aca="false">INDEX(Perf!$C$98:$Q$98,3*(Unit_Cost!C$6-1)+1)</f>
        <v>64057059441.4818</v>
      </c>
      <c r="D21" s="184" t="n">
        <f aca="false">INDEX(Perf!$C$98:$Q$98,3*(Unit_Cost!D$6-1)+1)</f>
        <v>64057059441.4818</v>
      </c>
      <c r="E21" s="184" t="n">
        <f aca="false">INDEX(Perf!$C$98:$Q$98,3*(Unit_Cost!E$6-1)+1)</f>
        <v>64057059441.4818</v>
      </c>
      <c r="F21" s="184" t="n">
        <f aca="false">INDEX(Perf!$C$98:$Q$98,3*(Unit_Cost!F$6-1)+1)</f>
        <v>362306894085.614</v>
      </c>
      <c r="G21" s="184" t="n">
        <f aca="false">INDEX(Perf!$C$98:$Q$98,3*(Unit_Cost!G$6-1)+1)</f>
        <v>362306894085.614</v>
      </c>
      <c r="H21" s="184" t="n">
        <f aca="false">INDEX(Perf!$C$98:$Q$98,3*(Unit_Cost!H$6-1)+1)</f>
        <v>362306894085.614</v>
      </c>
      <c r="I21" s="184" t="n">
        <f aca="false">INDEX(Perf!$C$98:$Q$98,3*(Unit_Cost!I$6-1)+1)</f>
        <v>527473919843.971</v>
      </c>
      <c r="J21" s="184" t="n">
        <f aca="false">INDEX(Perf!$C$98:$Q$98,3*(Unit_Cost!J$6-1)+1)</f>
        <v>527473919843.971</v>
      </c>
      <c r="K21" s="184" t="n">
        <f aca="false">INDEX(Perf!$C$98:$Q$98,3*(Unit_Cost!K$6-1)+1)</f>
        <v>527473919843.971</v>
      </c>
      <c r="L21" s="184" t="n">
        <f aca="false">INDEX(Perf!$C$98:$Q$98,3*(Unit_Cost!L$6-1)+1)</f>
        <v>772778400993.445</v>
      </c>
      <c r="M21" s="184" t="n">
        <f aca="false">INDEX(Perf!$C$98:$Q$98,3*(Unit_Cost!M$6-1)+1)</f>
        <v>772778400993.445</v>
      </c>
      <c r="N21" s="184" t="n">
        <f aca="false">INDEX(Perf!$C$98:$Q$98,3*(Unit_Cost!N$6-1)+1)</f>
        <v>772778400993.445</v>
      </c>
      <c r="O21" s="184" t="n">
        <f aca="false">INDEX(Perf!$C$98:$Q$98,3*(Unit_Cost!O$6-1)+1)</f>
        <v>1044373713057.39</v>
      </c>
      <c r="P21" s="184" t="n">
        <f aca="false">INDEX(Perf!$C$98:$Q$98,3*(Unit_Cost!P$6-1)+1)</f>
        <v>1044373713057.39</v>
      </c>
      <c r="Q21" s="184" t="n">
        <f aca="false">INDEX(Perf!$C$98:$Q$98,3*(Unit_Cost!Q$6-1)+1)</f>
        <v>1044373713057.39</v>
      </c>
      <c r="R21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1" s="42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2430</v>
      </c>
      <c r="U21" s="42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1" s="53" t="s">
        <v>2433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2434</v>
      </c>
      <c r="B22" s="28" t="s">
        <v>103</v>
      </c>
      <c r="C22" s="130" t="n">
        <f aca="false">INDEX(Perf!$C$120:$Q$120,3*(Unit_Cost!C$6-1)+1)</f>
        <v>0.082891886418064</v>
      </c>
      <c r="D22" s="185" t="n">
        <f aca="false">INDEX(Perf!$C$120:$Q$120,3*(Unit_Cost!D$6-1)+1)</f>
        <v>0.082891886418064</v>
      </c>
      <c r="E22" s="185" t="n">
        <f aca="false">INDEX(Perf!$C$120:$Q$120,3*(Unit_Cost!E$6-1)+1)</f>
        <v>0.082891886418064</v>
      </c>
      <c r="F22" s="185" t="n">
        <f aca="false">INDEX(Perf!$C$120:$Q$120,3*(Unit_Cost!F$6-1)+1)</f>
        <v>0.468836724240545</v>
      </c>
      <c r="G22" s="185" t="n">
        <f aca="false">INDEX(Perf!$C$120:$Q$120,3*(Unit_Cost!G$6-1)+1)</f>
        <v>0.468836724240545</v>
      </c>
      <c r="H22" s="185" t="n">
        <f aca="false">INDEX(Perf!$C$120:$Q$120,3*(Unit_Cost!H$6-1)+1)</f>
        <v>0.468836724240545</v>
      </c>
      <c r="I22" s="185" t="n">
        <f aca="false">INDEX(Perf!$C$120:$Q$120,3*(Unit_Cost!I$6-1)+1)</f>
        <v>0.682568145235267</v>
      </c>
      <c r="J22" s="185" t="n">
        <f aca="false">INDEX(Perf!$C$120:$Q$120,3*(Unit_Cost!J$6-1)+1)</f>
        <v>0.682568145235267</v>
      </c>
      <c r="K22" s="185" t="n">
        <f aca="false">INDEX(Perf!$C$120:$Q$120,3*(Unit_Cost!K$6-1)+1)</f>
        <v>0.682568145235267</v>
      </c>
      <c r="L22" s="185" t="n">
        <f aca="false">INDEX(Perf!$C$120:$Q$120,3*(Unit_Cost!L$6-1)+1)</f>
        <v>1</v>
      </c>
      <c r="M22" s="185" t="n">
        <f aca="false">INDEX(Perf!$C$120:$Q$120,3*(Unit_Cost!M$6-1)+1)</f>
        <v>1</v>
      </c>
      <c r="N22" s="185" t="n">
        <f aca="false">INDEX(Perf!$C$120:$Q$120,3*(Unit_Cost!N$6-1)+1)</f>
        <v>1</v>
      </c>
      <c r="O22" s="185" t="n">
        <f aca="false">INDEX(Perf!$C$120:$Q$120,3*(Unit_Cost!O$6-1)+1)</f>
        <v>1.35145303196207</v>
      </c>
      <c r="P22" s="185" t="n">
        <f aca="false">INDEX(Perf!$C$120:$Q$120,3*(Unit_Cost!P$6-1)+1)</f>
        <v>1.35145303196207</v>
      </c>
      <c r="Q22" s="185" t="n">
        <f aca="false">INDEX(Perf!$C$120:$Q$120,3*(Unit_Cost!Q$6-1)+1)</f>
        <v>1.35145303196207</v>
      </c>
      <c r="R22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2" s="42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2430</v>
      </c>
      <c r="U22" s="42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2" s="53" t="s">
        <v>2433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2" t="s">
        <v>2372</v>
      </c>
      <c r="B23" s="28" t="s">
        <v>807</v>
      </c>
      <c r="C23" s="44" t="n">
        <f aca="false">Unit_Cost!C16</f>
        <v>0.0386726342545921</v>
      </c>
      <c r="D23" s="44" t="n">
        <f aca="false">Unit_Cost!D16</f>
        <v>0.0552554588066438</v>
      </c>
      <c r="E23" s="44" t="n">
        <f aca="false">Unit_Cost!E16</f>
        <v>0.0948939461156487</v>
      </c>
      <c r="F23" s="44" t="n">
        <f aca="false">Unit_Cost!F16</f>
        <v>0.00532884190613242</v>
      </c>
      <c r="G23" s="44" t="n">
        <f aca="false">Unit_Cost!G16</f>
        <v>0.00711512490016412</v>
      </c>
      <c r="H23" s="44" t="n">
        <f aca="false">Unit_Cost!H16</f>
        <v>0.0115401606113995</v>
      </c>
      <c r="I23" s="44" t="n">
        <f aca="false">Unit_Cost!I16</f>
        <v>0.00466614812716556</v>
      </c>
      <c r="J23" s="44" t="n">
        <f aca="false">Unit_Cost!J16</f>
        <v>0.00602660034017561</v>
      </c>
      <c r="K23" s="44" t="n">
        <f aca="false">Unit_Cost!K16</f>
        <v>0.0102605809093624</v>
      </c>
      <c r="L23" s="44" t="n">
        <f aca="false">Unit_Cost!L16</f>
        <v>0.00376721490486678</v>
      </c>
      <c r="M23" s="44" t="n">
        <f aca="false">Unit_Cost!M16</f>
        <v>0.00484184232125769</v>
      </c>
      <c r="N23" s="44" t="n">
        <f aca="false">Unit_Cost!N16</f>
        <v>0.00782214620549421</v>
      </c>
      <c r="O23" s="44" t="n">
        <f aca="false">Unit_Cost!O16</f>
        <v>0.00299673261075866</v>
      </c>
      <c r="P23" s="44" t="n">
        <f aca="false">Unit_Cost!P16</f>
        <v>0.0045546226683917</v>
      </c>
      <c r="Q23" s="44" t="n">
        <f aca="false">Unit_Cost!Q16</f>
        <v>0.00831465258686319</v>
      </c>
      <c r="R23" s="17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23" s="42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2430</v>
      </c>
      <c r="U23" s="42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23" s="53" t="s">
        <v>2435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2" t="s">
        <v>2436</v>
      </c>
      <c r="B24" s="28" t="s">
        <v>807</v>
      </c>
      <c r="C24" s="186" t="n">
        <f aca="false">Unit_Cost!C17</f>
        <v>8.3822427339181E-006</v>
      </c>
      <c r="D24" s="186" t="n">
        <f aca="false">Unit_Cost!D17</f>
        <v>1.19765481979367E-005</v>
      </c>
      <c r="E24" s="186" t="n">
        <f aca="false">Unit_Cost!E17</f>
        <v>2.05681383141429E-005</v>
      </c>
      <c r="F24" s="186" t="n">
        <f aca="false">Unit_Cost!F17</f>
        <v>1.16786601759456E-005</v>
      </c>
      <c r="G24" s="186" t="n">
        <f aca="false">Unit_Cost!G17</f>
        <v>1.55934680146544E-005</v>
      </c>
      <c r="H24" s="186" t="n">
        <f aca="false">Unit_Cost!H17</f>
        <v>2.52913515788996E-005</v>
      </c>
      <c r="I24" s="186" t="n">
        <f aca="false">Unit_Cost!I17</f>
        <v>1.53394562836664E-005</v>
      </c>
      <c r="J24" s="186" t="n">
        <f aca="false">Unit_Cost!J17</f>
        <v>1.98117954976727E-005</v>
      </c>
      <c r="K24" s="186" t="n">
        <f aca="false">Unit_Cost!K17</f>
        <v>3.37305477697711E-005</v>
      </c>
      <c r="L24" s="186" t="n">
        <f aca="false">Unit_Cost!L17</f>
        <v>2.88967250493453E-005</v>
      </c>
      <c r="M24" s="186" t="n">
        <f aca="false">Unit_Cost!M17</f>
        <v>3.71397411145609E-005</v>
      </c>
      <c r="N24" s="186" t="n">
        <f aca="false">Unit_Cost!N17</f>
        <v>6.00004018629087E-005</v>
      </c>
      <c r="O24" s="186" t="n">
        <f aca="false">Unit_Cost!O17</f>
        <v>4.59733572340822E-005</v>
      </c>
      <c r="P24" s="186" t="n">
        <f aca="false">Unit_Cost!P17</f>
        <v>6.98731993133716E-005</v>
      </c>
      <c r="Q24" s="186" t="n">
        <f aca="false">Unit_Cost!Q17</f>
        <v>0.000127556423379521</v>
      </c>
      <c r="R24" s="17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2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2430</v>
      </c>
      <c r="U24" s="42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3" t="s">
        <v>2437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2373</v>
      </c>
      <c r="B25" s="28" t="s">
        <v>807</v>
      </c>
      <c r="C25" s="54" t="n">
        <f aca="false">Unit_Cost!C18</f>
        <v>0.644763128214926</v>
      </c>
      <c r="D25" s="54" t="n">
        <f aca="false">Unit_Cost!D18</f>
        <v>0.921237540649102</v>
      </c>
      <c r="E25" s="54" t="n">
        <f aca="false">Unit_Cost!E18</f>
        <v>1.58210369491236</v>
      </c>
      <c r="F25" s="54" t="n">
        <f aca="false">Unit_Cost!F18</f>
        <v>0.121612196523219</v>
      </c>
      <c r="G25" s="54" t="n">
        <f aca="false">Unit_Cost!G18</f>
        <v>0.162377864250437</v>
      </c>
      <c r="H25" s="54" t="n">
        <f aca="false">Unit_Cost!H18</f>
        <v>0.263363842445387</v>
      </c>
      <c r="I25" s="54" t="n">
        <f aca="false">Unit_Cost!I18</f>
        <v>0.106488526596046</v>
      </c>
      <c r="J25" s="54" t="n">
        <f aca="false">Unit_Cost!J18</f>
        <v>0.137536094679954</v>
      </c>
      <c r="K25" s="54" t="n">
        <f aca="false">Unit_Cost!K18</f>
        <v>0.234161906840545</v>
      </c>
      <c r="L25" s="54" t="n">
        <f aca="false">Unit_Cost!L18</f>
        <v>0.0806426702715034</v>
      </c>
      <c r="M25" s="54" t="n">
        <f aca="false">Unit_Cost!M18</f>
        <v>0.103646620561882</v>
      </c>
      <c r="N25" s="54" t="n">
        <f aca="false">Unit_Cost!N18</f>
        <v>0.167444325103472</v>
      </c>
      <c r="O25" s="54" t="n">
        <f aca="false">Unit_Cost!O18</f>
        <v>0.0630858774448701</v>
      </c>
      <c r="P25" s="54" t="n">
        <f aca="false">Unit_Cost!P18</f>
        <v>0.0958818836336032</v>
      </c>
      <c r="Q25" s="54" t="n">
        <f aca="false">Unit_Cost!Q18</f>
        <v>0.175036355331926</v>
      </c>
      <c r="R25" s="17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25" s="42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2430</v>
      </c>
      <c r="U25" s="42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25" s="53" t="s">
        <v>2438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2439</v>
      </c>
      <c r="B26" s="28" t="s">
        <v>807</v>
      </c>
      <c r="C26" s="44" t="n">
        <f aca="false">Unit_Cost!C22</f>
        <v>0.492753097058292</v>
      </c>
      <c r="D26" s="44" t="n">
        <f aca="false">Unit_Cost!D22</f>
        <v>0.674484488546133</v>
      </c>
      <c r="E26" s="44" t="n">
        <f aca="false">Unit_Cost!E22</f>
        <v>1.1589725319393</v>
      </c>
      <c r="F26" s="44" t="n">
        <f aca="false">Unit_Cost!F22</f>
        <v>0.0928765394372742</v>
      </c>
      <c r="G26" s="44" t="n">
        <f aca="false">Unit_Cost!G22</f>
        <v>0.118620772097041</v>
      </c>
      <c r="H26" s="44" t="n">
        <f aca="false">Unit_Cost!H22</f>
        <v>0.191649346768559</v>
      </c>
      <c r="I26" s="44" t="n">
        <f aca="false">Unit_Cost!I22</f>
        <v>0.0817858203143441</v>
      </c>
      <c r="J26" s="44" t="n">
        <f aca="false">Unit_Cost!J22</f>
        <v>0.10094260529117</v>
      </c>
      <c r="K26" s="44" t="n">
        <f aca="false">Unit_Cost!K22</f>
        <v>0.172236087143762</v>
      </c>
      <c r="L26" s="44" t="n">
        <f aca="false">Unit_Cost!L22</f>
        <v>0.0620797136410463</v>
      </c>
      <c r="M26" s="44" t="n">
        <f aca="false">Unit_Cost!M22</f>
        <v>0.0762360765157959</v>
      </c>
      <c r="N26" s="44" t="n">
        <f aca="false">Unit_Cost!N22</f>
        <v>0.123437108682434</v>
      </c>
      <c r="O26" s="44" t="n">
        <f aca="false">Unit_Cost!O22</f>
        <v>0.0486155680772872</v>
      </c>
      <c r="P26" s="44" t="n">
        <f aca="false">Unit_Cost!P22</f>
        <v>0.0707794686108994</v>
      </c>
      <c r="Q26" s="44" t="n">
        <f aca="false">Unit_Cost!Q22</f>
        <v>0.130326482142723</v>
      </c>
      <c r="R26" s="17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26" s="42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2430</v>
      </c>
      <c r="U26" s="42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26" s="53" t="s">
        <v>2438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2440</v>
      </c>
      <c r="B27" s="28" t="s">
        <v>823</v>
      </c>
      <c r="C27" s="49" t="n">
        <f aca="false">INDEX(Perf!$C$117:$Q$117,3*(Unit_Cost!C$6-1)+1)</f>
        <v>2.7598345622944</v>
      </c>
      <c r="D27" s="49" t="n">
        <f aca="false">INDEX(Perf!$C$117:$Q$117,3*(Unit_Cost!D$6-1)+1)</f>
        <v>2.7598345622944</v>
      </c>
      <c r="E27" s="49" t="n">
        <f aca="false">INDEX(Perf!$C$117:$Q$117,3*(Unit_Cost!E$6-1)+1)</f>
        <v>2.7598345622944</v>
      </c>
      <c r="F27" s="49" t="n">
        <f aca="false">INDEX(Perf!$C$117:$Q$117,3*(Unit_Cost!F$6-1)+1)</f>
        <v>15.611175581877</v>
      </c>
      <c r="G27" s="49" t="n">
        <f aca="false">INDEX(Perf!$C$117:$Q$117,3*(Unit_Cost!G$6-1)+1)</f>
        <v>15.611175581877</v>
      </c>
      <c r="H27" s="49" t="n">
        <f aca="false">INDEX(Perf!$C$117:$Q$117,3*(Unit_Cost!H$6-1)+1)</f>
        <v>15.611175581877</v>
      </c>
      <c r="I27" s="49" t="n">
        <f aca="false">INDEX(Perf!$C$117:$Q$117,3*(Unit_Cost!I$6-1)+1)</f>
        <v>22.7280350383209</v>
      </c>
      <c r="J27" s="49" t="n">
        <f aca="false">INDEX(Perf!$C$117:$Q$117,3*(Unit_Cost!J$6-1)+1)</f>
        <v>22.7280350383209</v>
      </c>
      <c r="K27" s="49" t="n">
        <f aca="false">INDEX(Perf!$C$117:$Q$117,3*(Unit_Cost!K$6-1)+1)</f>
        <v>22.7280350383209</v>
      </c>
      <c r="L27" s="49" t="n">
        <f aca="false">INDEX(Perf!$C$117:$Q$117,3*(Unit_Cost!L$6-1)+1)</f>
        <v>33.3014456681102</v>
      </c>
      <c r="M27" s="49" t="n">
        <f aca="false">INDEX(Perf!$C$117:$Q$117,3*(Unit_Cost!M$6-1)+1)</f>
        <v>33.3014456681102</v>
      </c>
      <c r="N27" s="49" t="n">
        <f aca="false">INDEX(Perf!$C$117:$Q$117,3*(Unit_Cost!N$6-1)+1)</f>
        <v>33.3014456681102</v>
      </c>
      <c r="O27" s="49" t="n">
        <f aca="false">INDEX(Perf!$C$117:$Q$117,3*(Unit_Cost!O$6-1)+1)</f>
        <v>45.0104289365576</v>
      </c>
      <c r="P27" s="49" t="n">
        <f aca="false">INDEX(Perf!$C$117:$Q$117,3*(Unit_Cost!P$6-1)+1)</f>
        <v>45.0104289365576</v>
      </c>
      <c r="Q27" s="49" t="n">
        <f aca="false">INDEX(Perf!$C$117:$Q$117,3*(Unit_Cost!Q$6-1)+1)</f>
        <v>45.0104289365576</v>
      </c>
      <c r="R27" s="17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" s="42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2430</v>
      </c>
      <c r="U27" s="42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" s="53" t="s">
        <v>2441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263</v>
      </c>
    </row>
    <row r="29" customFormat="false" ht="15" hidden="false" customHeight="true" outlineLevel="0" collapsed="false">
      <c r="A29" s="42" t="s">
        <v>2442</v>
      </c>
      <c r="B29" s="28" t="s">
        <v>372</v>
      </c>
      <c r="C29" s="47" t="n">
        <f aca="false">INDEX(Perf!$C$95:$Q$95,3*(Unit_Cost!C$6-1)+2)</f>
        <v>26279.9015937499</v>
      </c>
      <c r="D29" s="47" t="n">
        <f aca="false">INDEX(Perf!$C$95:$Q$95,3*(Unit_Cost!D$6-1)+2)</f>
        <v>26279.9015937499</v>
      </c>
      <c r="E29" s="47" t="n">
        <f aca="false">INDEX(Perf!$C$95:$Q$95,3*(Unit_Cost!E$6-1)+2)</f>
        <v>26279.9015937499</v>
      </c>
      <c r="F29" s="47" t="n">
        <f aca="false">INDEX(Perf!$C$95:$Q$95,3*(Unit_Cost!F$6-1)+2)</f>
        <v>473783.155186397</v>
      </c>
      <c r="G29" s="47" t="n">
        <f aca="false">INDEX(Perf!$C$95:$Q$95,3*(Unit_Cost!G$6-1)+2)</f>
        <v>473783.155186397</v>
      </c>
      <c r="H29" s="47" t="n">
        <f aca="false">INDEX(Perf!$C$95:$Q$95,3*(Unit_Cost!H$6-1)+2)</f>
        <v>473783.155186397</v>
      </c>
      <c r="I29" s="47" t="n">
        <f aca="false">INDEX(Perf!$C$95:$Q$95,3*(Unit_Cost!I$6-1)+2)</f>
        <v>710674.732779595</v>
      </c>
      <c r="J29" s="47" t="n">
        <f aca="false">INDEX(Perf!$C$95:$Q$95,3*(Unit_Cost!J$6-1)+2)</f>
        <v>710674.732779595</v>
      </c>
      <c r="K29" s="47" t="n">
        <f aca="false">INDEX(Perf!$C$95:$Q$95,3*(Unit_Cost!K$6-1)+2)</f>
        <v>710674.732779595</v>
      </c>
      <c r="L29" s="47" t="n">
        <f aca="false">INDEX(Perf!$C$95:$Q$95,3*(Unit_Cost!L$6-1)+2)</f>
        <v>1856942.7817541</v>
      </c>
      <c r="M29" s="47" t="n">
        <f aca="false">INDEX(Perf!$C$95:$Q$95,3*(Unit_Cost!M$6-1)+2)</f>
        <v>1856942.7817541</v>
      </c>
      <c r="N29" s="47" t="n">
        <f aca="false">INDEX(Perf!$C$95:$Q$95,3*(Unit_Cost!N$6-1)+2)</f>
        <v>1856942.7817541</v>
      </c>
      <c r="O29" s="47" t="n">
        <f aca="false">INDEX(Perf!$C$95:$Q$95,3*(Unit_Cost!O$6-1)+2)</f>
        <v>3823763.31251331</v>
      </c>
      <c r="P29" s="47" t="n">
        <f aca="false">INDEX(Perf!$C$95:$Q$95,3*(Unit_Cost!P$6-1)+2)</f>
        <v>3823763.31251331</v>
      </c>
      <c r="Q29" s="47" t="n">
        <f aca="false">INDEX(Perf!$C$95:$Q$95,3*(Unit_Cost!Q$6-1)+2)</f>
        <v>3823763.31251331</v>
      </c>
      <c r="R29" s="17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9" s="42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2430</v>
      </c>
      <c r="U29" s="42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9" s="53" t="s">
        <v>2431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2" t="s">
        <v>2443</v>
      </c>
      <c r="B30" s="28" t="s">
        <v>372</v>
      </c>
      <c r="C30" s="47" t="n">
        <f aca="false">INDEX(Perf!$C$96:$Q$96,3*(Unit_Cost!C$6-1)+2)</f>
        <v>2919.98906597222</v>
      </c>
      <c r="D30" s="47" t="n">
        <f aca="false">INDEX(Perf!$C$96:$Q$96,3*(Unit_Cost!D$6-1)+2)</f>
        <v>2919.98906597222</v>
      </c>
      <c r="E30" s="47" t="n">
        <f aca="false">INDEX(Perf!$C$96:$Q$96,3*(Unit_Cost!E$6-1)+2)</f>
        <v>2919.98906597222</v>
      </c>
      <c r="F30" s="47" t="n">
        <f aca="false">INDEX(Perf!$C$96:$Q$96,3*(Unit_Cost!F$6-1)+2)</f>
        <v>52642.5727984885</v>
      </c>
      <c r="G30" s="47" t="n">
        <f aca="false">INDEX(Perf!$C$96:$Q$96,3*(Unit_Cost!G$6-1)+2)</f>
        <v>52642.5727984885</v>
      </c>
      <c r="H30" s="47" t="n">
        <f aca="false">INDEX(Perf!$C$96:$Q$96,3*(Unit_Cost!H$6-1)+2)</f>
        <v>52642.5727984885</v>
      </c>
      <c r="I30" s="47" t="n">
        <f aca="false">INDEX(Perf!$C$96:$Q$96,3*(Unit_Cost!I$6-1)+2)</f>
        <v>78963.8591977328</v>
      </c>
      <c r="J30" s="47" t="n">
        <f aca="false">INDEX(Perf!$C$96:$Q$96,3*(Unit_Cost!J$6-1)+2)</f>
        <v>78963.8591977328</v>
      </c>
      <c r="K30" s="47" t="n">
        <f aca="false">INDEX(Perf!$C$96:$Q$96,3*(Unit_Cost!K$6-1)+2)</f>
        <v>78963.8591977328</v>
      </c>
      <c r="L30" s="47" t="n">
        <f aca="false">INDEX(Perf!$C$96:$Q$96,3*(Unit_Cost!L$6-1)+2)</f>
        <v>206326.975750455</v>
      </c>
      <c r="M30" s="47" t="n">
        <f aca="false">INDEX(Perf!$C$96:$Q$96,3*(Unit_Cost!M$6-1)+2)</f>
        <v>206326.975750455</v>
      </c>
      <c r="N30" s="47" t="n">
        <f aca="false">INDEX(Perf!$C$96:$Q$96,3*(Unit_Cost!N$6-1)+2)</f>
        <v>206326.975750455</v>
      </c>
      <c r="O30" s="47" t="n">
        <f aca="false">INDEX(Perf!$C$96:$Q$96,3*(Unit_Cost!O$6-1)+2)</f>
        <v>424862.590279257</v>
      </c>
      <c r="P30" s="47" t="n">
        <f aca="false">INDEX(Perf!$C$96:$Q$96,3*(Unit_Cost!P$6-1)+2)</f>
        <v>424862.590279257</v>
      </c>
      <c r="Q30" s="47" t="n">
        <f aca="false">INDEX(Perf!$C$96:$Q$96,3*(Unit_Cost!Q$6-1)+2)</f>
        <v>424862.590279257</v>
      </c>
      <c r="R30" s="17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0" s="42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2430</v>
      </c>
      <c r="U30" s="42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0" s="53" t="s">
        <v>2431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2" t="s">
        <v>2374</v>
      </c>
      <c r="B31" s="28" t="s">
        <v>799</v>
      </c>
      <c r="C31" s="184" t="n">
        <f aca="false">INDEX(Perf!$C$98:$Q$98,3*(Unit_Cost!C$6-1)+2)</f>
        <v>18596612433.2849</v>
      </c>
      <c r="D31" s="184" t="n">
        <f aca="false">INDEX(Perf!$C$98:$Q$98,3*(Unit_Cost!D$6-1)+2)</f>
        <v>18596612433.2849</v>
      </c>
      <c r="E31" s="184" t="n">
        <f aca="false">INDEX(Perf!$C$98:$Q$98,3*(Unit_Cost!E$6-1)+2)</f>
        <v>18596612433.2849</v>
      </c>
      <c r="F31" s="184" t="n">
        <f aca="false">INDEX(Perf!$C$98:$Q$98,3*(Unit_Cost!F$6-1)+2)</f>
        <v>104125401080.667</v>
      </c>
      <c r="G31" s="184" t="n">
        <f aca="false">INDEX(Perf!$C$98:$Q$98,3*(Unit_Cost!G$6-1)+2)</f>
        <v>104125401080.667</v>
      </c>
      <c r="H31" s="184" t="n">
        <f aca="false">INDEX(Perf!$C$98:$Q$98,3*(Unit_Cost!H$6-1)+2)</f>
        <v>104125401080.667</v>
      </c>
      <c r="I31" s="184" t="n">
        <f aca="false">INDEX(Perf!$C$98:$Q$98,3*(Unit_Cost!I$6-1)+2)</f>
        <v>151593674754.548</v>
      </c>
      <c r="J31" s="184" t="n">
        <f aca="false">INDEX(Perf!$C$98:$Q$98,3*(Unit_Cost!J$6-1)+2)</f>
        <v>151593674754.548</v>
      </c>
      <c r="K31" s="184" t="n">
        <f aca="false">INDEX(Perf!$C$98:$Q$98,3*(Unit_Cost!K$6-1)+2)</f>
        <v>151593674754.548</v>
      </c>
      <c r="L31" s="184" t="n">
        <f aca="false">INDEX(Perf!$C$98:$Q$98,3*(Unit_Cost!L$6-1)+2)</f>
        <v>237287338734.99</v>
      </c>
      <c r="M31" s="184" t="n">
        <f aca="false">INDEX(Perf!$C$98:$Q$98,3*(Unit_Cost!M$6-1)+2)</f>
        <v>237287338734.99</v>
      </c>
      <c r="N31" s="184" t="n">
        <f aca="false">INDEX(Perf!$C$98:$Q$98,3*(Unit_Cost!N$6-1)+2)</f>
        <v>237287338734.99</v>
      </c>
      <c r="O31" s="184" t="n">
        <f aca="false">INDEX(Perf!$C$98:$Q$98,3*(Unit_Cost!O$6-1)+2)</f>
        <v>326185670522.351</v>
      </c>
      <c r="P31" s="184" t="n">
        <f aca="false">INDEX(Perf!$C$98:$Q$98,3*(Unit_Cost!P$6-1)+2)</f>
        <v>326185670522.351</v>
      </c>
      <c r="Q31" s="184" t="n">
        <f aca="false">INDEX(Perf!$C$98:$Q$98,3*(Unit_Cost!Q$6-1)+2)</f>
        <v>326185670522.351</v>
      </c>
      <c r="R31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1" s="42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2430</v>
      </c>
      <c r="U31" s="42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1" s="53" t="s">
        <v>2433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2444</v>
      </c>
      <c r="B32" s="28" t="s">
        <v>103</v>
      </c>
      <c r="C32" s="185" t="n">
        <f aca="false">INDEX(Perf!$C$120:$Q$120,3*(Unit_Cost!C$6-1)+2)</f>
        <v>0.0783717012986278</v>
      </c>
      <c r="D32" s="185" t="n">
        <f aca="false">INDEX(Perf!$C$120:$Q$120,3*(Unit_Cost!D$6-1)+2)</f>
        <v>0.0783717012986278</v>
      </c>
      <c r="E32" s="185" t="n">
        <f aca="false">INDEX(Perf!$C$120:$Q$120,3*(Unit_Cost!E$6-1)+2)</f>
        <v>0.0783717012986278</v>
      </c>
      <c r="F32" s="185" t="n">
        <f aca="false">INDEX(Perf!$C$120:$Q$120,3*(Unit_Cost!F$6-1)+2)</f>
        <v>0.438815663894134</v>
      </c>
      <c r="G32" s="185" t="n">
        <f aca="false">INDEX(Perf!$C$120:$Q$120,3*(Unit_Cost!G$6-1)+2)</f>
        <v>0.438815663894134</v>
      </c>
      <c r="H32" s="185" t="n">
        <f aca="false">INDEX(Perf!$C$120:$Q$120,3*(Unit_Cost!H$6-1)+2)</f>
        <v>0.438815663894134</v>
      </c>
      <c r="I32" s="185" t="n">
        <f aca="false">INDEX(Perf!$C$120:$Q$120,3*(Unit_Cost!I$6-1)+2)</f>
        <v>0.638861203310358</v>
      </c>
      <c r="J32" s="185" t="n">
        <f aca="false">INDEX(Perf!$C$120:$Q$120,3*(Unit_Cost!J$6-1)+2)</f>
        <v>0.638861203310358</v>
      </c>
      <c r="K32" s="185" t="n">
        <f aca="false">INDEX(Perf!$C$120:$Q$120,3*(Unit_Cost!K$6-1)+2)</f>
        <v>0.638861203310358</v>
      </c>
      <c r="L32" s="185" t="n">
        <f aca="false">INDEX(Perf!$C$120:$Q$120,3*(Unit_Cost!L$6-1)+2)</f>
        <v>1</v>
      </c>
      <c r="M32" s="185" t="n">
        <f aca="false">INDEX(Perf!$C$120:$Q$120,3*(Unit_Cost!M$6-1)+2)</f>
        <v>1</v>
      </c>
      <c r="N32" s="185" t="n">
        <f aca="false">INDEX(Perf!$C$120:$Q$120,3*(Unit_Cost!N$6-1)+2)</f>
        <v>1</v>
      </c>
      <c r="O32" s="185" t="n">
        <f aca="false">INDEX(Perf!$C$120:$Q$120,3*(Unit_Cost!O$6-1)+2)</f>
        <v>1.37464422780115</v>
      </c>
      <c r="P32" s="185" t="n">
        <f aca="false">INDEX(Perf!$C$120:$Q$120,3*(Unit_Cost!P$6-1)+2)</f>
        <v>1.37464422780115</v>
      </c>
      <c r="Q32" s="185" t="n">
        <f aca="false">INDEX(Perf!$C$120:$Q$120,3*(Unit_Cost!Q$6-1)+2)</f>
        <v>1.37464422780115</v>
      </c>
      <c r="R32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2" s="42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2430</v>
      </c>
      <c r="U32" s="42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2" s="53" t="s">
        <v>2433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2" t="s">
        <v>2375</v>
      </c>
      <c r="B33" s="28" t="s">
        <v>807</v>
      </c>
      <c r="C33" s="44" t="n">
        <f aca="false">Unit_Cost!C29</f>
        <v>0.134224657207592</v>
      </c>
      <c r="D33" s="44" t="n">
        <f aca="false">Unit_Cost!D29</f>
        <v>0.191780186690782</v>
      </c>
      <c r="E33" s="44" t="n">
        <f aca="false">Unit_Cost!E29</f>
        <v>0.32935711864356</v>
      </c>
      <c r="F33" s="44" t="n">
        <f aca="false">Unit_Cost!F29</f>
        <v>0.018495300150885</v>
      </c>
      <c r="G33" s="44" t="n">
        <f aca="false">Unit_Cost!G29</f>
        <v>0.0246951163043756</v>
      </c>
      <c r="H33" s="44" t="n">
        <f aca="false">Unit_Cost!H29</f>
        <v>0.0400534934338416</v>
      </c>
      <c r="I33" s="44" t="n">
        <f aca="false">Unit_Cost!I29</f>
        <v>0.0161952280965778</v>
      </c>
      <c r="J33" s="44" t="n">
        <f aca="false">Unit_Cost!J29</f>
        <v>0.0209170743182869</v>
      </c>
      <c r="K33" s="44" t="n">
        <f aca="false">Unit_Cost!K29</f>
        <v>0.0356123388503434</v>
      </c>
      <c r="L33" s="44" t="n">
        <f aca="false">Unit_Cost!L29</f>
        <v>0.0130752181479087</v>
      </c>
      <c r="M33" s="44" t="n">
        <f aca="false">Unit_Cost!M29</f>
        <v>0.0168050260436256</v>
      </c>
      <c r="N33" s="44" t="n">
        <f aca="false">Unit_Cost!N29</f>
        <v>0.0271490399683714</v>
      </c>
      <c r="O33" s="44" t="n">
        <f aca="false">Unit_Cost!O29</f>
        <v>0.0104010346120689</v>
      </c>
      <c r="P33" s="44" t="n">
        <f aca="false">Unit_Cost!P29</f>
        <v>0.0158081464621773</v>
      </c>
      <c r="Q33" s="44" t="n">
        <f aca="false">Unit_Cost!Q29</f>
        <v>0.0288584270190855</v>
      </c>
      <c r="R33" s="17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33" s="42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2430</v>
      </c>
      <c r="U33" s="42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33" s="53" t="s">
        <v>2435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2" t="s">
        <v>2445</v>
      </c>
      <c r="B34" s="28" t="s">
        <v>807</v>
      </c>
      <c r="C34" s="186" t="n">
        <f aca="false">Unit_Cost!C30</f>
        <v>1.18910885295117E-005</v>
      </c>
      <c r="D34" s="186" t="n">
        <f aca="false">Unit_Cost!D30</f>
        <v>1.69899869784684E-005</v>
      </c>
      <c r="E34" s="186" t="n">
        <f aca="false">Unit_Cost!E30</f>
        <v>2.91780566782028E-005</v>
      </c>
      <c r="F34" s="186" t="n">
        <f aca="false">Unit_Cost!F30</f>
        <v>1.65674016449461E-005</v>
      </c>
      <c r="G34" s="186" t="n">
        <f aca="false">Unit_Cost!G30</f>
        <v>2.21209662533469E-005</v>
      </c>
      <c r="H34" s="186" t="n">
        <f aca="false">Unit_Cost!H30</f>
        <v>3.58784289840203E-005</v>
      </c>
      <c r="I34" s="186" t="n">
        <f aca="false">Unit_Cost!I30</f>
        <v>2.17606240303174E-005</v>
      </c>
      <c r="J34" s="186" t="n">
        <f aca="false">Unit_Cost!J30</f>
        <v>2.81051052408846E-005</v>
      </c>
      <c r="K34" s="186" t="n">
        <f aca="false">Unit_Cost!K30</f>
        <v>4.7850311952466E-005</v>
      </c>
      <c r="L34" s="186" t="n">
        <f aca="false">Unit_Cost!L30</f>
        <v>4.09930285583736E-005</v>
      </c>
      <c r="M34" s="186" t="n">
        <f aca="false">Unit_Cost!M30</f>
        <v>5.2686609488098E-005</v>
      </c>
      <c r="N34" s="186" t="n">
        <f aca="false">Unit_Cost!N30</f>
        <v>8.51168491543588E-005</v>
      </c>
      <c r="O34" s="186" t="n">
        <f aca="false">Unit_Cost!O30</f>
        <v>6.52180184018376E-005</v>
      </c>
      <c r="P34" s="186" t="n">
        <f aca="false">Unit_Cost!P30</f>
        <v>9.91224455375737E-005</v>
      </c>
      <c r="Q34" s="186" t="n">
        <f aca="false">Unit_Cost!Q30</f>
        <v>0.000180952135491878</v>
      </c>
      <c r="R34" s="17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2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2430</v>
      </c>
      <c r="U34" s="42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3" t="s">
        <v>2437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2376</v>
      </c>
      <c r="B35" s="28" t="s">
        <v>807</v>
      </c>
      <c r="C35" s="54" t="n">
        <f aca="false">Unit_Cost!C31</f>
        <v>2.21280518666324</v>
      </c>
      <c r="D35" s="54" t="n">
        <f aca="false">Unit_Cost!D31</f>
        <v>3.16165599255189</v>
      </c>
      <c r="E35" s="54" t="n">
        <f aca="false">Unit_Cost!E31</f>
        <v>5.42972621842321</v>
      </c>
      <c r="F35" s="54" t="n">
        <f aca="false">Unit_Cost!F31</f>
        <v>0.423524919545995</v>
      </c>
      <c r="G35" s="54" t="n">
        <f aca="false">Unit_Cost!G31</f>
        <v>0.565494858729786</v>
      </c>
      <c r="H35" s="54" t="n">
        <f aca="false">Unit_Cost!H31</f>
        <v>0.917187201381651</v>
      </c>
      <c r="I35" s="54" t="n">
        <f aca="false">Unit_Cost!I31</f>
        <v>0.37085544006724</v>
      </c>
      <c r="J35" s="54" t="n">
        <f aca="false">Unit_Cost!J31</f>
        <v>0.478981262565029</v>
      </c>
      <c r="K35" s="54" t="n">
        <f aca="false">Unit_Cost!K31</f>
        <v>0.815488952511794</v>
      </c>
      <c r="L35" s="54" t="n">
        <f aca="false">Unit_Cost!L31</f>
        <v>0.256178955227036</v>
      </c>
      <c r="M35" s="54" t="n">
        <f aca="false">Unit_Cost!M31</f>
        <v>0.329255999075451</v>
      </c>
      <c r="N35" s="54" t="n">
        <f aca="false">Unit_Cost!N31</f>
        <v>0.531923262452556</v>
      </c>
      <c r="O35" s="54" t="n">
        <f aca="false">Unit_Cost!O31</f>
        <v>0.195537573688745</v>
      </c>
      <c r="P35" s="54" t="n">
        <f aca="false">Unit_Cost!P31</f>
        <v>0.297190300678713</v>
      </c>
      <c r="Q35" s="54" t="n">
        <f aca="false">Unit_Cost!Q31</f>
        <v>0.542533220035429</v>
      </c>
      <c r="R35" s="17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35" s="42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2430</v>
      </c>
      <c r="U35" s="42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35" s="53" t="s">
        <v>2438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2446</v>
      </c>
      <c r="B36" s="28" t="s">
        <v>807</v>
      </c>
      <c r="C36" s="44" t="n">
        <f aca="false">Unit_Cost!C35</f>
        <v>1.69111191567937</v>
      </c>
      <c r="D36" s="44" t="n">
        <f aca="false">Unit_Cost!D35</f>
        <v>2.31480788721727</v>
      </c>
      <c r="E36" s="44" t="n">
        <f aca="false">Unit_Cost!E35</f>
        <v>3.9775544190558</v>
      </c>
      <c r="F36" s="44" t="n">
        <f aca="false">Unit_Cost!F35</f>
        <v>0.32345052566641</v>
      </c>
      <c r="G36" s="44" t="n">
        <f aca="false">Unit_Cost!G35</f>
        <v>0.41310702705128</v>
      </c>
      <c r="H36" s="44" t="n">
        <f aca="false">Unit_Cost!H35</f>
        <v>0.667435310698456</v>
      </c>
      <c r="I36" s="44" t="n">
        <f aca="false">Unit_Cost!I35</f>
        <v>0.284826143749672</v>
      </c>
      <c r="J36" s="44" t="n">
        <f aca="false">Unit_Cost!J35</f>
        <v>0.351541292789194</v>
      </c>
      <c r="K36" s="44" t="n">
        <f aca="false">Unit_Cost!K35</f>
        <v>0.599826966669016</v>
      </c>
      <c r="L36" s="44" t="n">
        <f aca="false">Unit_Cost!L35</f>
        <v>0.197209692186701</v>
      </c>
      <c r="M36" s="44" t="n">
        <f aca="false">Unit_Cost!M35</f>
        <v>0.242180453185295</v>
      </c>
      <c r="N36" s="44" t="n">
        <f aca="false">Unit_Cost!N35</f>
        <v>0.392124782476187</v>
      </c>
      <c r="O36" s="44" t="n">
        <f aca="false">Unit_Cost!O35</f>
        <v>0.150686185408772</v>
      </c>
      <c r="P36" s="44" t="n">
        <f aca="false">Unit_Cost!P35</f>
        <v>0.21938421275425</v>
      </c>
      <c r="Q36" s="44" t="n">
        <f aca="false">Unit_Cost!Q35</f>
        <v>0.403952915259799</v>
      </c>
      <c r="R36" s="17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36" s="42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2430</v>
      </c>
      <c r="U36" s="42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36" s="53" t="s">
        <v>2438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2447</v>
      </c>
      <c r="B37" s="28" t="s">
        <v>823</v>
      </c>
      <c r="C37" s="49" t="n">
        <f aca="false">INDEX(Perf!$C$117:$Q$117,3*(Unit_Cost!C$6-1)+2)</f>
        <v>0.801216512004571</v>
      </c>
      <c r="D37" s="49" t="n">
        <f aca="false">INDEX(Perf!$C$117:$Q$117,3*(Unit_Cost!D$6-1)+2)</f>
        <v>0.801216512004571</v>
      </c>
      <c r="E37" s="49" t="n">
        <f aca="false">INDEX(Perf!$C$117:$Q$117,3*(Unit_Cost!E$6-1)+2)</f>
        <v>0.801216512004571</v>
      </c>
      <c r="F37" s="49" t="n">
        <f aca="false">INDEX(Perf!$C$117:$Q$117,3*(Unit_Cost!F$6-1)+2)</f>
        <v>4.48658290896209</v>
      </c>
      <c r="G37" s="49" t="n">
        <f aca="false">INDEX(Perf!$C$117:$Q$117,3*(Unit_Cost!G$6-1)+2)</f>
        <v>4.48658290896209</v>
      </c>
      <c r="H37" s="49" t="n">
        <f aca="false">INDEX(Perf!$C$117:$Q$117,3*(Unit_Cost!H$6-1)+2)</f>
        <v>4.48658290896209</v>
      </c>
      <c r="I37" s="49" t="n">
        <f aca="false">INDEX(Perf!$C$117:$Q$117,3*(Unit_Cost!I$6-1)+2)</f>
        <v>6.5319368821654</v>
      </c>
      <c r="J37" s="49" t="n">
        <f aca="false">INDEX(Perf!$C$117:$Q$117,3*(Unit_Cost!J$6-1)+2)</f>
        <v>6.5319368821654</v>
      </c>
      <c r="K37" s="49" t="n">
        <f aca="false">INDEX(Perf!$C$117:$Q$117,3*(Unit_Cost!K$6-1)+2)</f>
        <v>6.5319368821654</v>
      </c>
      <c r="L37" s="49" t="n">
        <f aca="false">INDEX(Perf!$C$117:$Q$117,3*(Unit_Cost!L$6-1)+2)</f>
        <v>10.2254558466635</v>
      </c>
      <c r="M37" s="49" t="n">
        <f aca="false">INDEX(Perf!$C$117:$Q$117,3*(Unit_Cost!M$6-1)+2)</f>
        <v>10.2254558466635</v>
      </c>
      <c r="N37" s="49" t="n">
        <f aca="false">INDEX(Perf!$C$117:$Q$117,3*(Unit_Cost!N$6-1)+2)</f>
        <v>10.2254558466635</v>
      </c>
      <c r="O37" s="49" t="n">
        <f aca="false">INDEX(Perf!$C$117:$Q$117,3*(Unit_Cost!O$6-1)+2)</f>
        <v>14.0579533548284</v>
      </c>
      <c r="P37" s="49" t="n">
        <f aca="false">INDEX(Perf!$C$117:$Q$117,3*(Unit_Cost!P$6-1)+2)</f>
        <v>14.0579533548284</v>
      </c>
      <c r="Q37" s="49" t="n">
        <f aca="false">INDEX(Perf!$C$117:$Q$117,3*(Unit_Cost!Q$6-1)+2)</f>
        <v>14.0579533548284</v>
      </c>
      <c r="R37" s="17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7" s="42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2430</v>
      </c>
      <c r="U37" s="42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7" s="53" t="s">
        <v>2441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264</v>
      </c>
    </row>
    <row r="39" customFormat="false" ht="15" hidden="false" customHeight="true" outlineLevel="0" collapsed="false">
      <c r="A39" s="42" t="s">
        <v>2448</v>
      </c>
      <c r="B39" s="28" t="s">
        <v>372</v>
      </c>
      <c r="C39" s="47" t="str">
        <f aca="false">INDEX(Perf!$C$95:$Q$95,3*(Unit_Cost!C$6-1)+3)</f>
        <v>TTFT 不可達</v>
      </c>
      <c r="D39" s="47" t="str">
        <f aca="false">INDEX(Perf!$C$95:$Q$95,3*(Unit_Cost!D$6-1)+3)</f>
        <v>TTFT 不可達</v>
      </c>
      <c r="E39" s="47" t="str">
        <f aca="false">INDEX(Perf!$C$95:$Q$95,3*(Unit_Cost!E$6-1)+3)</f>
        <v>TTFT 不可達</v>
      </c>
      <c r="F39" s="47" t="n">
        <f aca="false">INDEX(Perf!$C$95:$Q$95,3*(Unit_Cost!F$6-1)+3)</f>
        <v>91192.7873461663</v>
      </c>
      <c r="G39" s="47" t="n">
        <f aca="false">INDEX(Perf!$C$95:$Q$95,3*(Unit_Cost!G$6-1)+3)</f>
        <v>91192.7873461663</v>
      </c>
      <c r="H39" s="47" t="n">
        <f aca="false">INDEX(Perf!$C$95:$Q$95,3*(Unit_Cost!H$6-1)+3)</f>
        <v>91192.7873461663</v>
      </c>
      <c r="I39" s="47" t="n">
        <f aca="false">INDEX(Perf!$C$95:$Q$95,3*(Unit_Cost!I$6-1)+3)</f>
        <v>113610.678728985</v>
      </c>
      <c r="J39" s="47" t="n">
        <f aca="false">INDEX(Perf!$C$95:$Q$95,3*(Unit_Cost!J$6-1)+3)</f>
        <v>113610.678728985</v>
      </c>
      <c r="K39" s="47" t="n">
        <f aca="false">INDEX(Perf!$C$95:$Q$95,3*(Unit_Cost!K$6-1)+3)</f>
        <v>113610.678728985</v>
      </c>
      <c r="L39" s="47" t="n">
        <f aca="false">INDEX(Perf!$C$95:$Q$95,3*(Unit_Cost!L$6-1)+3)</f>
        <v>400425.262990618</v>
      </c>
      <c r="M39" s="47" t="n">
        <f aca="false">INDEX(Perf!$C$95:$Q$95,3*(Unit_Cost!M$6-1)+3)</f>
        <v>400425.262990618</v>
      </c>
      <c r="N39" s="47" t="n">
        <f aca="false">INDEX(Perf!$C$95:$Q$95,3*(Unit_Cost!N$6-1)+3)</f>
        <v>400425.262990618</v>
      </c>
      <c r="O39" s="47" t="n">
        <f aca="false">INDEX(Perf!$C$95:$Q$95,3*(Unit_Cost!O$6-1)+3)</f>
        <v>872177.01955352</v>
      </c>
      <c r="P39" s="47" t="n">
        <f aca="false">INDEX(Perf!$C$95:$Q$95,3*(Unit_Cost!P$6-1)+3)</f>
        <v>872177.01955352</v>
      </c>
      <c r="Q39" s="47" t="n">
        <f aca="false">INDEX(Perf!$C$95:$Q$95,3*(Unit_Cost!Q$6-1)+3)</f>
        <v>872177.01955352</v>
      </c>
      <c r="R39" s="17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9" s="42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2430</v>
      </c>
      <c r="U39" s="42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9" s="53" t="s">
        <v>2431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2" t="s">
        <v>2449</v>
      </c>
      <c r="B40" s="28" t="s">
        <v>372</v>
      </c>
      <c r="C40" s="47" t="str">
        <f aca="false">INDEX(Perf!$C$96:$Q$96,3*(Unit_Cost!C$6-1)+3)</f>
        <v>TTFT 不可達</v>
      </c>
      <c r="D40" s="47" t="str">
        <f aca="false">INDEX(Perf!$C$96:$Q$96,3*(Unit_Cost!D$6-1)+3)</f>
        <v>TTFT 不可達</v>
      </c>
      <c r="E40" s="47" t="str">
        <f aca="false">INDEX(Perf!$C$96:$Q$96,3*(Unit_Cost!E$6-1)+3)</f>
        <v>TTFT 不可達</v>
      </c>
      <c r="F40" s="47" t="n">
        <f aca="false">INDEX(Perf!$C$96:$Q$96,3*(Unit_Cost!F$6-1)+3)</f>
        <v>10132.5319273518</v>
      </c>
      <c r="G40" s="47" t="n">
        <f aca="false">INDEX(Perf!$C$96:$Q$96,3*(Unit_Cost!G$6-1)+3)</f>
        <v>10132.5319273518</v>
      </c>
      <c r="H40" s="47" t="n">
        <f aca="false">INDEX(Perf!$C$96:$Q$96,3*(Unit_Cost!H$6-1)+3)</f>
        <v>10132.5319273518</v>
      </c>
      <c r="I40" s="47" t="n">
        <f aca="false">INDEX(Perf!$C$96:$Q$96,3*(Unit_Cost!I$6-1)+3)</f>
        <v>12623.408747665</v>
      </c>
      <c r="J40" s="47" t="n">
        <f aca="false">INDEX(Perf!$C$96:$Q$96,3*(Unit_Cost!J$6-1)+3)</f>
        <v>12623.408747665</v>
      </c>
      <c r="K40" s="47" t="n">
        <f aca="false">INDEX(Perf!$C$96:$Q$96,3*(Unit_Cost!K$6-1)+3)</f>
        <v>12623.408747665</v>
      </c>
      <c r="L40" s="47" t="n">
        <f aca="false">INDEX(Perf!$C$96:$Q$96,3*(Unit_Cost!L$6-1)+3)</f>
        <v>44491.6958878465</v>
      </c>
      <c r="M40" s="47" t="n">
        <f aca="false">INDEX(Perf!$C$96:$Q$96,3*(Unit_Cost!M$6-1)+3)</f>
        <v>44491.6958878465</v>
      </c>
      <c r="N40" s="47" t="n">
        <f aca="false">INDEX(Perf!$C$96:$Q$96,3*(Unit_Cost!N$6-1)+3)</f>
        <v>44491.6958878465</v>
      </c>
      <c r="O40" s="47" t="n">
        <f aca="false">INDEX(Perf!$C$96:$Q$96,3*(Unit_Cost!O$6-1)+3)</f>
        <v>96908.5577281689</v>
      </c>
      <c r="P40" s="47" t="n">
        <f aca="false">INDEX(Perf!$C$96:$Q$96,3*(Unit_Cost!P$6-1)+3)</f>
        <v>96908.5577281689</v>
      </c>
      <c r="Q40" s="47" t="n">
        <f aca="false">INDEX(Perf!$C$96:$Q$96,3*(Unit_Cost!Q$6-1)+3)</f>
        <v>96908.5577281689</v>
      </c>
      <c r="R40" s="17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0" s="42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2430</v>
      </c>
      <c r="U40" s="42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0" s="53" t="s">
        <v>2431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2" t="s">
        <v>2377</v>
      </c>
      <c r="B41" s="28" t="s">
        <v>799</v>
      </c>
      <c r="C41" s="184" t="str">
        <f aca="false">INDEX(Perf!$C$98:$Q$98,3*(Unit_Cost!C$6-1)+3)</f>
        <v>TTFT 不可達</v>
      </c>
      <c r="D41" s="184" t="str">
        <f aca="false">INDEX(Perf!$C$98:$Q$98,3*(Unit_Cost!D$6-1)+3)</f>
        <v>TTFT 不可達</v>
      </c>
      <c r="E41" s="184" t="str">
        <f aca="false">INDEX(Perf!$C$98:$Q$98,3*(Unit_Cost!E$6-1)+3)</f>
        <v>TTFT 不可達</v>
      </c>
      <c r="F41" s="184" t="n">
        <f aca="false">INDEX(Perf!$C$98:$Q$98,3*(Unit_Cost!F$6-1)+3)</f>
        <v>20041838664.2467</v>
      </c>
      <c r="G41" s="184" t="n">
        <f aca="false">INDEX(Perf!$C$98:$Q$98,3*(Unit_Cost!G$6-1)+3)</f>
        <v>20041838664.2467</v>
      </c>
      <c r="H41" s="184" t="n">
        <f aca="false">INDEX(Perf!$C$98:$Q$98,3*(Unit_Cost!H$6-1)+3)</f>
        <v>20041838664.2467</v>
      </c>
      <c r="I41" s="184" t="n">
        <f aca="false">INDEX(Perf!$C$98:$Q$98,3*(Unit_Cost!I$6-1)+3)</f>
        <v>24234237528.7831</v>
      </c>
      <c r="J41" s="184" t="n">
        <f aca="false">INDEX(Perf!$C$98:$Q$98,3*(Unit_Cost!J$6-1)+3)</f>
        <v>24234237528.7831</v>
      </c>
      <c r="K41" s="184" t="n">
        <f aca="false">INDEX(Perf!$C$98:$Q$98,3*(Unit_Cost!K$6-1)+3)</f>
        <v>24234237528.7831</v>
      </c>
      <c r="L41" s="184" t="n">
        <f aca="false">INDEX(Perf!$C$98:$Q$98,3*(Unit_Cost!L$6-1)+3)</f>
        <v>51167890551.5595</v>
      </c>
      <c r="M41" s="184" t="n">
        <f aca="false">INDEX(Perf!$C$98:$Q$98,3*(Unit_Cost!M$6-1)+3)</f>
        <v>51167890551.5595</v>
      </c>
      <c r="N41" s="184" t="n">
        <f aca="false">INDEX(Perf!$C$98:$Q$98,3*(Unit_Cost!N$6-1)+3)</f>
        <v>51167890551.5595</v>
      </c>
      <c r="O41" s="184" t="n">
        <f aca="false">INDEX(Perf!$C$98:$Q$98,3*(Unit_Cost!O$6-1)+3)</f>
        <v>74400955991.7707</v>
      </c>
      <c r="P41" s="184" t="n">
        <f aca="false">INDEX(Perf!$C$98:$Q$98,3*(Unit_Cost!P$6-1)+3)</f>
        <v>74400955991.7707</v>
      </c>
      <c r="Q41" s="184" t="n">
        <f aca="false">INDEX(Perf!$C$98:$Q$98,3*(Unit_Cost!Q$6-1)+3)</f>
        <v>74400955991.7707</v>
      </c>
      <c r="R41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1" s="42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2430</v>
      </c>
      <c r="U41" s="42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1" s="53" t="s">
        <v>2433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2450</v>
      </c>
      <c r="B42" s="28" t="s">
        <v>103</v>
      </c>
      <c r="C42" s="185" t="str">
        <f aca="false">INDEX(Perf!$C$120:$Q$120,3*(Unit_Cost!C$6-1)+3)</f>
        <v>SLO 不可達</v>
      </c>
      <c r="D42" s="185" t="str">
        <f aca="false">INDEX(Perf!$C$120:$Q$120,3*(Unit_Cost!D$6-1)+3)</f>
        <v>SLO 不可達</v>
      </c>
      <c r="E42" s="185" t="str">
        <f aca="false">INDEX(Perf!$C$120:$Q$120,3*(Unit_Cost!E$6-1)+3)</f>
        <v>SLO 不可達</v>
      </c>
      <c r="F42" s="185" t="n">
        <f aca="false">INDEX(Perf!$C$120:$Q$120,3*(Unit_Cost!F$6-1)+3)</f>
        <v>0.39168780358556</v>
      </c>
      <c r="G42" s="185" t="n">
        <f aca="false">INDEX(Perf!$C$120:$Q$120,3*(Unit_Cost!G$6-1)+3)</f>
        <v>0.39168780358556</v>
      </c>
      <c r="H42" s="185" t="n">
        <f aca="false">INDEX(Perf!$C$120:$Q$120,3*(Unit_Cost!H$6-1)+3)</f>
        <v>0.39168780358556</v>
      </c>
      <c r="I42" s="185" t="n">
        <f aca="false">INDEX(Perf!$C$120:$Q$120,3*(Unit_Cost!I$6-1)+3)</f>
        <v>0.473621977915297</v>
      </c>
      <c r="J42" s="185" t="n">
        <f aca="false">INDEX(Perf!$C$120:$Q$120,3*(Unit_Cost!J$6-1)+3)</f>
        <v>0.473621977915297</v>
      </c>
      <c r="K42" s="185" t="n">
        <f aca="false">INDEX(Perf!$C$120:$Q$120,3*(Unit_Cost!K$6-1)+3)</f>
        <v>0.473621977915297</v>
      </c>
      <c r="L42" s="185" t="n">
        <f aca="false">INDEX(Perf!$C$120:$Q$120,3*(Unit_Cost!L$6-1)+3)</f>
        <v>1</v>
      </c>
      <c r="M42" s="185" t="n">
        <f aca="false">INDEX(Perf!$C$120:$Q$120,3*(Unit_Cost!M$6-1)+3)</f>
        <v>1</v>
      </c>
      <c r="N42" s="185" t="n">
        <f aca="false">INDEX(Perf!$C$120:$Q$120,3*(Unit_Cost!N$6-1)+3)</f>
        <v>1</v>
      </c>
      <c r="O42" s="185" t="n">
        <f aca="false">INDEX(Perf!$C$120:$Q$120,3*(Unit_Cost!O$6-1)+3)</f>
        <v>1.4540555647257</v>
      </c>
      <c r="P42" s="185" t="n">
        <f aca="false">INDEX(Perf!$C$120:$Q$120,3*(Unit_Cost!P$6-1)+3)</f>
        <v>1.4540555647257</v>
      </c>
      <c r="Q42" s="185" t="n">
        <f aca="false">INDEX(Perf!$C$120:$Q$120,3*(Unit_Cost!Q$6-1)+3)</f>
        <v>1.4540555647257</v>
      </c>
      <c r="R42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2" s="42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2430</v>
      </c>
      <c r="U42" s="42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2" s="53" t="s">
        <v>2433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2" t="s">
        <v>2378</v>
      </c>
      <c r="B43" s="28" t="s">
        <v>807</v>
      </c>
      <c r="C43" s="44" t="n">
        <f aca="false">Unit_Cost!C42</f>
        <v>0.445283898601385</v>
      </c>
      <c r="D43" s="44" t="n">
        <f aca="false">Unit_Cost!D42</f>
        <v>0.636221622619591</v>
      </c>
      <c r="E43" s="44" t="n">
        <f aca="false">Unit_Cost!E42</f>
        <v>1.09262653280539</v>
      </c>
      <c r="F43" s="44" t="n">
        <f aca="false">Unit_Cost!F42</f>
        <v>0.061357276139298</v>
      </c>
      <c r="G43" s="44" t="n">
        <f aca="false">Unit_Cost!G42</f>
        <v>0.0819248705356724</v>
      </c>
      <c r="H43" s="44" t="n">
        <f aca="false">Unit_Cost!H42</f>
        <v>0.132875554163212</v>
      </c>
      <c r="I43" s="44" t="n">
        <f aca="false">Unit_Cost!I42</f>
        <v>0.0537268967983248</v>
      </c>
      <c r="J43" s="44" t="n">
        <f aca="false">Unit_Cost!J42</f>
        <v>0.0693913964360257</v>
      </c>
      <c r="K43" s="44" t="n">
        <f aca="false">Unit_Cost!K42</f>
        <v>0.118142235648023</v>
      </c>
      <c r="L43" s="44" t="n">
        <f aca="false">Unit_Cost!L42</f>
        <v>0.0433764125987652</v>
      </c>
      <c r="M43" s="44" t="n">
        <f aca="false">Unit_Cost!M42</f>
        <v>0.0557498724040708</v>
      </c>
      <c r="N43" s="44" t="n">
        <f aca="false">Unit_Cost!N42</f>
        <v>0.0900656452540185</v>
      </c>
      <c r="O43" s="44" t="n">
        <f aca="false">Unit_Cost!O42</f>
        <v>0.0345049362606085</v>
      </c>
      <c r="P43" s="44" t="n">
        <f aca="false">Unit_Cost!P42</f>
        <v>0.0524427719375976</v>
      </c>
      <c r="Q43" s="44" t="n">
        <f aca="false">Unit_Cost!Q42</f>
        <v>0.0957364552675877</v>
      </c>
      <c r="R43" s="17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43" s="42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2430</v>
      </c>
      <c r="U43" s="42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43" s="53" t="s">
        <v>2435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2" t="s">
        <v>2451</v>
      </c>
      <c r="B44" s="28" t="s">
        <v>807</v>
      </c>
      <c r="C44" s="186" t="n">
        <f aca="false">Unit_Cost!C43</f>
        <v>0.000172743177629224</v>
      </c>
      <c r="D44" s="186" t="n">
        <f aca="false">Unit_Cost!D43</f>
        <v>0.000246815447656943</v>
      </c>
      <c r="E44" s="186" t="n">
        <f aca="false">Unit_Cost!E43</f>
        <v>0.000423872904076792</v>
      </c>
      <c r="F44" s="186" t="n">
        <f aca="false">Unit_Cost!F43</f>
        <v>0.000240676503089255</v>
      </c>
      <c r="G44" s="186" t="n">
        <f aca="false">Unit_Cost!G43</f>
        <v>0.000321353759443325</v>
      </c>
      <c r="H44" s="186" t="n">
        <f aca="false">Unit_Cost!H43</f>
        <v>0.000521209964559791</v>
      </c>
      <c r="I44" s="186" t="n">
        <f aca="false">Unit_Cost!I43</f>
        <v>0.000316119027527436</v>
      </c>
      <c r="J44" s="186" t="n">
        <f aca="false">Unit_Cost!J43</f>
        <v>0.000408286018127352</v>
      </c>
      <c r="K44" s="186" t="n">
        <f aca="false">Unit_Cost!K43</f>
        <v>0.000695126852071133</v>
      </c>
      <c r="L44" s="186" t="n">
        <f aca="false">Unit_Cost!L43</f>
        <v>0.000595510326598316</v>
      </c>
      <c r="M44" s="186" t="n">
        <f aca="false">Unit_Cost!M43</f>
        <v>0.000765384289158751</v>
      </c>
      <c r="N44" s="186" t="n">
        <f aca="false">Unit_Cost!N43</f>
        <v>0.00123650202050216</v>
      </c>
      <c r="O44" s="186" t="n">
        <f aca="false">Unit_Cost!O43</f>
        <v>0.00094742947287411</v>
      </c>
      <c r="P44" s="186" t="n">
        <f aca="false">Unit_Cost!P43</f>
        <v>0.00143996289103764</v>
      </c>
      <c r="Q44" s="186" t="n">
        <f aca="false">Unit_Cost!Q43</f>
        <v>0.00262871198091606</v>
      </c>
      <c r="R44" s="17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2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2430</v>
      </c>
      <c r="U44" s="42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3" t="s">
        <v>2437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2379</v>
      </c>
      <c r="B45" s="28" t="s">
        <v>807</v>
      </c>
      <c r="C45" s="54" t="str">
        <f aca="false">Unit_Cost!C44</f>
        <v>SLO 不可達</v>
      </c>
      <c r="D45" s="54" t="str">
        <f aca="false">Unit_Cost!D44</f>
        <v>SLO 不可達</v>
      </c>
      <c r="E45" s="54" t="str">
        <f aca="false">Unit_Cost!E44</f>
        <v>SLO 不可達</v>
      </c>
      <c r="F45" s="54" t="n">
        <f aca="false">Unit_Cost!F44</f>
        <v>2.47824794341068</v>
      </c>
      <c r="G45" s="54" t="n">
        <f aca="false">Unit_Cost!G44</f>
        <v>3.30898231952609</v>
      </c>
      <c r="H45" s="54" t="n">
        <f aca="false">Unit_Cost!H44</f>
        <v>5.36690331700735</v>
      </c>
      <c r="I45" s="54" t="n">
        <f aca="false">Unit_Cost!I44</f>
        <v>2.70047072784554</v>
      </c>
      <c r="J45" s="54" t="n">
        <f aca="false">Unit_Cost!J44</f>
        <v>3.48781422353906</v>
      </c>
      <c r="K45" s="54" t="n">
        <f aca="false">Unit_Cost!K44</f>
        <v>5.93817376587556</v>
      </c>
      <c r="L45" s="54" t="n">
        <f aca="false">Unit_Cost!L44</f>
        <v>1.32608273033948</v>
      </c>
      <c r="M45" s="54" t="n">
        <f aca="false">Unit_Cost!M44</f>
        <v>1.70435816575049</v>
      </c>
      <c r="N45" s="54" t="n">
        <f aca="false">Unit_Cost!N44</f>
        <v>2.7534433949855</v>
      </c>
      <c r="O45" s="54" t="n">
        <f aca="false">Unit_Cost!O44</f>
        <v>0.946026825683234</v>
      </c>
      <c r="P45" s="54" t="n">
        <f aca="false">Unit_Cost!P44</f>
        <v>1.43783105963287</v>
      </c>
      <c r="Q45" s="54" t="n">
        <f aca="false">Unit_Cost!Q44</f>
        <v>2.62482023426766</v>
      </c>
      <c r="R45" s="17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45" s="42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2430</v>
      </c>
      <c r="U45" s="42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45" s="53" t="s">
        <v>2438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2452</v>
      </c>
      <c r="B46" s="28" t="s">
        <v>807</v>
      </c>
      <c r="C46" s="44" t="str">
        <f aca="false">Unit_Cost!C48</f>
        <v>SLO 不可達</v>
      </c>
      <c r="D46" s="44" t="str">
        <f aca="false">Unit_Cost!D48</f>
        <v>SLO 不可達</v>
      </c>
      <c r="E46" s="44" t="str">
        <f aca="false">Unit_Cost!E48</f>
        <v>SLO 不可達</v>
      </c>
      <c r="F46" s="44" t="n">
        <f aca="false">Unit_Cost!F48</f>
        <v>1.89266454707592</v>
      </c>
      <c r="G46" s="44" t="n">
        <f aca="false">Unit_Cost!G48</f>
        <v>2.41728784529561</v>
      </c>
      <c r="H46" s="44" t="n">
        <f aca="false">Unit_Cost!H48</f>
        <v>3.90548491897767</v>
      </c>
      <c r="I46" s="44" t="n">
        <f aca="false">Unit_Cost!I48</f>
        <v>2.0740282617444</v>
      </c>
      <c r="J46" s="44" t="n">
        <f aca="false">Unit_Cost!J48</f>
        <v>2.55983024176232</v>
      </c>
      <c r="K46" s="44" t="n">
        <f aca="false">Unit_Cost!K48</f>
        <v>4.36778051568657</v>
      </c>
      <c r="L46" s="44" t="n">
        <f aca="false">Unit_Cost!L48</f>
        <v>1.02083470062005</v>
      </c>
      <c r="M46" s="44" t="n">
        <f aca="false">Unit_Cost!M48</f>
        <v>1.25362099439508</v>
      </c>
      <c r="N46" s="44" t="n">
        <f aca="false">Unit_Cost!N48</f>
        <v>2.02979164201432</v>
      </c>
      <c r="O46" s="44" t="n">
        <f aca="false">Unit_Cost!O48</f>
        <v>0.729032129055107</v>
      </c>
      <c r="P46" s="44" t="n">
        <f aca="false">Unit_Cost!P48</f>
        <v>1.06139882213781</v>
      </c>
      <c r="Q46" s="44" t="n">
        <f aca="false">Unit_Cost!Q48</f>
        <v>1.95435734902295</v>
      </c>
      <c r="R46" s="17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46" s="42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2430</v>
      </c>
      <c r="U46" s="42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46" s="53" t="s">
        <v>2438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2453</v>
      </c>
      <c r="B47" s="28" t="s">
        <v>823</v>
      </c>
      <c r="C47" s="49" t="str">
        <f aca="false">INDEX(Perf!$C$117:$Q$117,3*(Unit_Cost!C$6-1)+3)</f>
        <v>TTFT 不可達</v>
      </c>
      <c r="D47" s="49" t="str">
        <f aca="false">INDEX(Perf!$C$117:$Q$117,3*(Unit_Cost!D$6-1)+3)</f>
        <v>TTFT 不可達</v>
      </c>
      <c r="E47" s="49" t="str">
        <f aca="false">INDEX(Perf!$C$117:$Q$117,3*(Unit_Cost!E$6-1)+3)</f>
        <v>TTFT 不可達</v>
      </c>
      <c r="F47" s="49" t="n">
        <f aca="false">INDEX(Perf!$C$117:$Q$117,3*(Unit_Cost!F$6-1)+3)</f>
        <v>0.863568061990211</v>
      </c>
      <c r="G47" s="49" t="n">
        <f aca="false">INDEX(Perf!$C$117:$Q$117,3*(Unit_Cost!G$6-1)+3)</f>
        <v>0.863568061990211</v>
      </c>
      <c r="H47" s="49" t="n">
        <f aca="false">INDEX(Perf!$C$117:$Q$117,3*(Unit_Cost!H$6-1)+3)</f>
        <v>0.863568061990211</v>
      </c>
      <c r="I47" s="49" t="n">
        <f aca="false">INDEX(Perf!$C$117:$Q$117,3*(Unit_Cost!I$6-1)+3)</f>
        <v>1.0442157971414</v>
      </c>
      <c r="J47" s="49" t="n">
        <f aca="false">INDEX(Perf!$C$117:$Q$117,3*(Unit_Cost!J$6-1)+3)</f>
        <v>1.0442157971414</v>
      </c>
      <c r="K47" s="49" t="n">
        <f aca="false">INDEX(Perf!$C$117:$Q$117,3*(Unit_Cost!K$6-1)+3)</f>
        <v>1.0442157971414</v>
      </c>
      <c r="L47" s="49" t="n">
        <f aca="false">INDEX(Perf!$C$117:$Q$117,3*(Unit_Cost!L$6-1)+3)</f>
        <v>2.20498492836244</v>
      </c>
      <c r="M47" s="49" t="n">
        <f aca="false">INDEX(Perf!$C$117:$Q$117,3*(Unit_Cost!M$6-1)+3)</f>
        <v>2.20498492836244</v>
      </c>
      <c r="N47" s="49" t="n">
        <f aca="false">INDEX(Perf!$C$117:$Q$117,3*(Unit_Cost!N$6-1)+3)</f>
        <v>2.20498492836244</v>
      </c>
      <c r="O47" s="49" t="n">
        <f aca="false">INDEX(Perf!$C$117:$Q$117,3*(Unit_Cost!O$6-1)+3)</f>
        <v>3.20653316012323</v>
      </c>
      <c r="P47" s="49" t="n">
        <f aca="false">INDEX(Perf!$C$117:$Q$117,3*(Unit_Cost!P$6-1)+3)</f>
        <v>3.20653316012323</v>
      </c>
      <c r="Q47" s="49" t="n">
        <f aca="false">INDEX(Perf!$C$117:$Q$117,3*(Unit_Cost!Q$6-1)+3)</f>
        <v>3.20653316012323</v>
      </c>
      <c r="R47" s="17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7" s="42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2430</v>
      </c>
      <c r="U47" s="42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7" s="53" t="s">
        <v>2441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2" t="s">
        <v>2454</v>
      </c>
      <c r="B48" s="28" t="s">
        <v>99</v>
      </c>
      <c r="C48" s="187" t="n">
        <f aca="false">Serving!$C$17</f>
        <v>0.6</v>
      </c>
      <c r="R48" s="177" t="str">
        <f aca="false">IF(SUM(Gov_Map!$AG$240)&gt;0,"C",IF(SUM(Gov_Map!$AH$240)&gt;0,"B","A"))</f>
        <v>B</v>
      </c>
      <c r="S48" s="42" t="str">
        <f aca="false">IF(R48="—","—",IF(R48="A","基準輸入",IF(R48="B","情境、相對比較、反轉門檻","探索")))</f>
        <v>情境、相對比較、反轉門檻</v>
      </c>
      <c r="T48" s="28" t="s">
        <v>2455</v>
      </c>
      <c r="U48" s="42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3" t="s">
        <v>2456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2" t="s">
        <v>2457</v>
      </c>
      <c r="C50" s="53" t="s">
        <v>2458</v>
      </c>
    </row>
    <row r="52" customFormat="false" ht="15" hidden="false" customHeight="true" outlineLevel="0" collapsed="false">
      <c r="A52" s="41" t="s">
        <v>2459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262</v>
      </c>
    </row>
    <row r="54" customFormat="false" ht="15" hidden="false" customHeight="true" outlineLevel="0" collapsed="false">
      <c r="A54" s="42" t="s">
        <v>2460</v>
      </c>
      <c r="B54" s="28" t="s">
        <v>1023</v>
      </c>
      <c r="C54" s="47" t="n">
        <f aca="false">INDEX(Training!$C$106:$Q$106,3*(Unit_Cost!C$6-1)+1)</f>
        <v>7292069.45600863</v>
      </c>
      <c r="D54" s="47" t="n">
        <f aca="false">INDEX(Training!$C$106:$Q$106,3*(Unit_Cost!D$6-1)+1)</f>
        <v>7292069.45600863</v>
      </c>
      <c r="E54" s="47" t="n">
        <f aca="false">INDEX(Training!$C$106:$Q$106,3*(Unit_Cost!E$6-1)+1)</f>
        <v>7292069.45600863</v>
      </c>
      <c r="F54" s="47" t="n">
        <f aca="false">INDEX(Training!$C$106:$Q$106,3*(Unit_Cost!F$6-1)+1)</f>
        <v>2079780.169416</v>
      </c>
      <c r="G54" s="47" t="n">
        <f aca="false">INDEX(Training!$C$106:$Q$106,3*(Unit_Cost!G$6-1)+1)</f>
        <v>2079780.169416</v>
      </c>
      <c r="H54" s="47" t="n">
        <f aca="false">INDEX(Training!$C$106:$Q$106,3*(Unit_Cost!H$6-1)+1)</f>
        <v>2079780.169416</v>
      </c>
      <c r="I54" s="47" t="n">
        <f aca="false">INDEX(Training!$C$106:$Q$106,3*(Unit_Cost!I$6-1)+1)</f>
        <v>1775249.94775683</v>
      </c>
      <c r="J54" s="47" t="n">
        <f aca="false">INDEX(Training!$C$106:$Q$106,3*(Unit_Cost!J$6-1)+1)</f>
        <v>1775249.94775683</v>
      </c>
      <c r="K54" s="47" t="n">
        <f aca="false">INDEX(Training!$C$106:$Q$106,3*(Unit_Cost!K$6-1)+1)</f>
        <v>1775249.94775683</v>
      </c>
      <c r="L54" s="47" t="n">
        <f aca="false">INDEX(Training!$C$106:$Q$106,3*(Unit_Cost!L$6-1)+1)</f>
        <v>704197.648874947</v>
      </c>
      <c r="M54" s="47" t="n">
        <f aca="false">INDEX(Training!$C$106:$Q$106,3*(Unit_Cost!M$6-1)+1)</f>
        <v>704197.648874947</v>
      </c>
      <c r="N54" s="47" t="n">
        <f aca="false">INDEX(Training!$C$106:$Q$106,3*(Unit_Cost!N$6-1)+1)</f>
        <v>704197.648874947</v>
      </c>
      <c r="O54" s="47" t="n">
        <f aca="false">INDEX(Training!$C$106:$Q$106,3*(Unit_Cost!O$6-1)+1)</f>
        <v>305060.599619606</v>
      </c>
      <c r="P54" s="47" t="n">
        <f aca="false">INDEX(Training!$C$106:$Q$106,3*(Unit_Cost!P$6-1)+1)</f>
        <v>305060.599619606</v>
      </c>
      <c r="Q54" s="47" t="n">
        <f aca="false">INDEX(Training!$C$106:$Q$106,3*(Unit_Cost!Q$6-1)+1)</f>
        <v>305060.599619606</v>
      </c>
      <c r="R54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54" s="42" t="str">
        <f aca="false">IF(R54="—","—",IF(R54="A","基準輸入",IF(R54="B","情境、相對比較、反轉門檻","探索")))</f>
        <v>情境、相對比較、反轉門檻</v>
      </c>
      <c r="T54" s="28" t="s">
        <v>620</v>
      </c>
      <c r="U54" s="42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54" s="53" t="s">
        <v>2461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2" t="s">
        <v>2462</v>
      </c>
      <c r="B55" s="28" t="s">
        <v>877</v>
      </c>
      <c r="C55" s="188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88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88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88" t="n">
        <f aca="false">IF(ISNUMBER(INDEX(Training!$C$106:$Q$106,3*(Unit_Cost!F$6-1)+1)),INDEX(Training!$C$106:$Q$106,3*(Unit_Cost!F$6-1)+1)*Unit_Cost!F$8/1000000,INDEX(Training!$C$106:$Q$106,3*(Unit_Cost!F$6-1)+1))</f>
        <v>3.12846386480889</v>
      </c>
      <c r="G55" s="188" t="n">
        <f aca="false">IF(ISNUMBER(INDEX(Training!$C$106:$Q$106,3*(Unit_Cost!G$6-1)+1)),INDEX(Training!$C$106:$Q$106,3*(Unit_Cost!G$6-1)+1)*Unit_Cost!G$8/1000000,INDEX(Training!$C$106:$Q$106,3*(Unit_Cost!G$6-1)+1))</f>
        <v>4.17715735160942</v>
      </c>
      <c r="H55" s="188" t="n">
        <f aca="false">IF(ISNUMBER(INDEX(Training!$C$106:$Q$106,3*(Unit_Cost!H$6-1)+1)),INDEX(Training!$C$106:$Q$106,3*(Unit_Cost!H$6-1)+1)*Unit_Cost!H$8/1000000,INDEX(Training!$C$106:$Q$106,3*(Unit_Cost!H$6-1)+1))</f>
        <v>6.77501342745918</v>
      </c>
      <c r="I55" s="188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88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88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88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88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88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88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88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88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7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55" s="42" t="str">
        <f aca="false">IF(R55="—","—",IF(R55="A","基準輸入",IF(R55="B","情境、相對比較、反轉門檻","探索")))</f>
        <v>情境、相對比較、反轉門檻</v>
      </c>
      <c r="T55" s="28" t="s">
        <v>620</v>
      </c>
      <c r="U55" s="42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55" s="53" t="s">
        <v>2463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2" t="s">
        <v>2464</v>
      </c>
      <c r="B56" s="28" t="s">
        <v>99</v>
      </c>
      <c r="C56" s="189" t="n">
        <f aca="false">INDEX(Training!$C$110:$Q$110,3*(Unit_Cost!C$6-1)+1)</f>
        <v>0.131230136086418</v>
      </c>
      <c r="D56" s="189" t="n">
        <f aca="false">INDEX(Training!$C$110:$Q$110,3*(Unit_Cost!D$6-1)+1)</f>
        <v>0.131230136086418</v>
      </c>
      <c r="E56" s="189" t="n">
        <f aca="false">INDEX(Training!$C$110:$Q$110,3*(Unit_Cost!E$6-1)+1)</f>
        <v>0.131230136086418</v>
      </c>
      <c r="F56" s="189" t="n">
        <f aca="false">INDEX(Training!$C$110:$Q$110,3*(Unit_Cost!F$6-1)+1)</f>
        <v>0.131230136086418</v>
      </c>
      <c r="G56" s="189" t="n">
        <f aca="false">INDEX(Training!$C$110:$Q$110,3*(Unit_Cost!G$6-1)+1)</f>
        <v>0.131230136086418</v>
      </c>
      <c r="H56" s="189" t="n">
        <f aca="false">INDEX(Training!$C$110:$Q$110,3*(Unit_Cost!H$6-1)+1)</f>
        <v>0.131230136086418</v>
      </c>
      <c r="I56" s="189" t="n">
        <f aca="false">INDEX(Training!$C$110:$Q$110,3*(Unit_Cost!I$6-1)+1)</f>
        <v>0.131230136086418</v>
      </c>
      <c r="J56" s="189" t="n">
        <f aca="false">INDEX(Training!$C$110:$Q$110,3*(Unit_Cost!J$6-1)+1)</f>
        <v>0.131230136086418</v>
      </c>
      <c r="K56" s="189" t="n">
        <f aca="false">INDEX(Training!$C$110:$Q$110,3*(Unit_Cost!K$6-1)+1)</f>
        <v>0.131230136086418</v>
      </c>
      <c r="L56" s="189" t="n">
        <f aca="false">INDEX(Training!$C$110:$Q$110,3*(Unit_Cost!L$6-1)+1)</f>
        <v>0.131230136086418</v>
      </c>
      <c r="M56" s="189" t="n">
        <f aca="false">INDEX(Training!$C$110:$Q$110,3*(Unit_Cost!M$6-1)+1)</f>
        <v>0.131230136086418</v>
      </c>
      <c r="N56" s="189" t="n">
        <f aca="false">INDEX(Training!$C$110:$Q$110,3*(Unit_Cost!N$6-1)+1)</f>
        <v>0.131230136086418</v>
      </c>
      <c r="O56" s="189" t="n">
        <f aca="false">INDEX(Training!$C$110:$Q$110,3*(Unit_Cost!O$6-1)+1)</f>
        <v>0.131230136086418</v>
      </c>
      <c r="P56" s="189" t="n">
        <f aca="false">INDEX(Training!$C$110:$Q$110,3*(Unit_Cost!P$6-1)+1)</f>
        <v>0.131230136086418</v>
      </c>
      <c r="Q56" s="189" t="n">
        <f aca="false">INDEX(Training!$C$110:$Q$110,3*(Unit_Cost!Q$6-1)+1)</f>
        <v>0.131230136086418</v>
      </c>
      <c r="R56" s="17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2" t="str">
        <f aca="false">IF(R56="—","—",IF(R56="A","基準輸入",IF(R56="B","情境、相對比較、反轉門檻","探索")))</f>
        <v>情境、相對比較、反轉門檻</v>
      </c>
      <c r="T56" s="28" t="s">
        <v>620</v>
      </c>
      <c r="U56" s="42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53" t="s">
        <v>2465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2" t="s">
        <v>2466</v>
      </c>
      <c r="B57" s="28" t="s">
        <v>99</v>
      </c>
      <c r="C57" s="190" t="n">
        <f aca="false">INDEX(Training!$C$111:$Q$111,3*(Unit_Cost!C$6-1)+1)</f>
        <v>0.332444236058156</v>
      </c>
      <c r="D57" s="190" t="n">
        <f aca="false">INDEX(Training!$C$111:$Q$111,3*(Unit_Cost!D$6-1)+1)</f>
        <v>0.332444236058156</v>
      </c>
      <c r="E57" s="190" t="n">
        <f aca="false">INDEX(Training!$C$111:$Q$111,3*(Unit_Cost!E$6-1)+1)</f>
        <v>0.332444236058156</v>
      </c>
      <c r="F57" s="190" t="n">
        <f aca="false">INDEX(Training!$C$111:$Q$111,3*(Unit_Cost!F$6-1)+1)</f>
        <v>0.269893093641953</v>
      </c>
      <c r="G57" s="190" t="n">
        <f aca="false">INDEX(Training!$C$111:$Q$111,3*(Unit_Cost!G$6-1)+1)</f>
        <v>0.269893093641953</v>
      </c>
      <c r="H57" s="190" t="n">
        <f aca="false">INDEX(Training!$C$111:$Q$111,3*(Unit_Cost!H$6-1)+1)</f>
        <v>0.269893093641953</v>
      </c>
      <c r="I57" s="190" t="n">
        <f aca="false">INDEX(Training!$C$111:$Q$111,3*(Unit_Cost!I$6-1)+1)</f>
        <v>0.238707389111481</v>
      </c>
      <c r="J57" s="190" t="n">
        <f aca="false">INDEX(Training!$C$111:$Q$111,3*(Unit_Cost!J$6-1)+1)</f>
        <v>0.238707389111481</v>
      </c>
      <c r="K57" s="190" t="n">
        <f aca="false">INDEX(Training!$C$111:$Q$111,3*(Unit_Cost!K$6-1)+1)</f>
        <v>0.238707389111481</v>
      </c>
      <c r="L57" s="190" t="n">
        <f aca="false">INDEX(Training!$C$111:$Q$111,3*(Unit_Cost!L$6-1)+1)</f>
        <v>0.286511860627156</v>
      </c>
      <c r="M57" s="190" t="n">
        <f aca="false">INDEX(Training!$C$111:$Q$111,3*(Unit_Cost!M$6-1)+1)</f>
        <v>0.286511860627156</v>
      </c>
      <c r="N57" s="190" t="n">
        <f aca="false">INDEX(Training!$C$111:$Q$111,3*(Unit_Cost!N$6-1)+1)</f>
        <v>0.286511860627156</v>
      </c>
      <c r="O57" s="190" t="n">
        <f aca="false">INDEX(Training!$C$111:$Q$111,3*(Unit_Cost!O$6-1)+1)</f>
        <v>0.26008816948871</v>
      </c>
      <c r="P57" s="190" t="n">
        <f aca="false">INDEX(Training!$C$111:$Q$111,3*(Unit_Cost!P$6-1)+1)</f>
        <v>0.26008816948871</v>
      </c>
      <c r="Q57" s="190" t="n">
        <f aca="false">INDEX(Training!$C$111:$Q$111,3*(Unit_Cost!Q$6-1)+1)</f>
        <v>0.26008816948871</v>
      </c>
      <c r="R57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57" s="42" t="str">
        <f aca="false">IF(R57="—","—",IF(R57="A","基準輸入",IF(R57="B","情境、相對比較、反轉門檻","探索")))</f>
        <v>情境、相對比較、反轉門檻</v>
      </c>
      <c r="T57" s="28" t="s">
        <v>620</v>
      </c>
      <c r="U57" s="42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57" s="53" t="s">
        <v>2467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2468</v>
      </c>
      <c r="B58" s="28" t="s">
        <v>99</v>
      </c>
      <c r="C58" s="189" t="n">
        <f aca="false">INDEX(Training!$C$77:$Q$77,3*(Unit_Cost!C$6-1)+1)</f>
        <v>0.0671673042766739</v>
      </c>
      <c r="D58" s="189" t="n">
        <f aca="false">INDEX(Training!$C$77:$Q$77,3*(Unit_Cost!D$6-1)+1)</f>
        <v>0.0671673042766739</v>
      </c>
      <c r="E58" s="189" t="n">
        <f aca="false">INDEX(Training!$C$77:$Q$77,3*(Unit_Cost!E$6-1)+1)</f>
        <v>0.0671673042766739</v>
      </c>
      <c r="F58" s="189" t="n">
        <f aca="false">INDEX(Training!$C$77:$Q$77,3*(Unit_Cost!F$6-1)+1)</f>
        <v>0.0901475818714053</v>
      </c>
      <c r="G58" s="189" t="n">
        <f aca="false">INDEX(Training!$C$77:$Q$77,3*(Unit_Cost!G$6-1)+1)</f>
        <v>0.0901475818714053</v>
      </c>
      <c r="H58" s="189" t="n">
        <f aca="false">INDEX(Training!$C$77:$Q$77,3*(Unit_Cost!H$6-1)+1)</f>
        <v>0.0901475818714053</v>
      </c>
      <c r="I58" s="189" t="n">
        <f aca="false">INDEX(Training!$C$77:$Q$77,3*(Unit_Cost!I$6-1)+1)</f>
        <v>0.106320482312473</v>
      </c>
      <c r="J58" s="189" t="n">
        <f aca="false">INDEX(Training!$C$77:$Q$77,3*(Unit_Cost!J$6-1)+1)</f>
        <v>0.106320482312473</v>
      </c>
      <c r="K58" s="189" t="n">
        <f aca="false">INDEX(Training!$C$77:$Q$77,3*(Unit_Cost!K$6-1)+1)</f>
        <v>0.106320482312473</v>
      </c>
      <c r="L58" s="189" t="n">
        <f aca="false">INDEX(Training!$C$77:$Q$77,3*(Unit_Cost!L$6-1)+1)</f>
        <v>0.0746224482738129</v>
      </c>
      <c r="M58" s="189" t="n">
        <f aca="false">INDEX(Training!$C$77:$Q$77,3*(Unit_Cost!M$6-1)+1)</f>
        <v>0.0746224482738129</v>
      </c>
      <c r="N58" s="189" t="n">
        <f aca="false">INDEX(Training!$C$77:$Q$77,3*(Unit_Cost!N$6-1)+1)</f>
        <v>0.0746224482738129</v>
      </c>
      <c r="O58" s="189" t="n">
        <f aca="false">INDEX(Training!$C$77:$Q$77,3*(Unit_Cost!O$6-1)+1)</f>
        <v>0.0853336117258793</v>
      </c>
      <c r="P58" s="189" t="n">
        <f aca="false">INDEX(Training!$C$77:$Q$77,3*(Unit_Cost!P$6-1)+1)</f>
        <v>0.0853336117258793</v>
      </c>
      <c r="Q58" s="189" t="n">
        <f aca="false">INDEX(Training!$C$77:$Q$77,3*(Unit_Cost!Q$6-1)+1)</f>
        <v>0.0853336117258793</v>
      </c>
      <c r="R58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58" s="42" t="str">
        <f aca="false">IF(R58="—","—",IF(R58="A","基準輸入",IF(R58="B","情境、相對比較、反轉門檻","探索")))</f>
        <v>情境、相對比較、反轉門檻</v>
      </c>
      <c r="T58" s="28" t="s">
        <v>620</v>
      </c>
      <c r="U58" s="42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58" s="53" t="s">
        <v>2469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2" t="s">
        <v>2470</v>
      </c>
      <c r="B59" s="28" t="s">
        <v>1023</v>
      </c>
      <c r="C59" s="184" t="n">
        <f aca="false">INDEX(Training!$C$120:$Q$120,3*(Unit_Cost!C$6-1)+1)</f>
        <v>58336555.6480691</v>
      </c>
      <c r="D59" s="184" t="n">
        <f aca="false">INDEX(Training!$C$120:$Q$120,3*(Unit_Cost!D$6-1)+1)</f>
        <v>58336555.6480691</v>
      </c>
      <c r="E59" s="184" t="n">
        <f aca="false">INDEX(Training!$C$120:$Q$120,3*(Unit_Cost!E$6-1)+1)</f>
        <v>58336555.6480691</v>
      </c>
      <c r="F59" s="184" t="n">
        <f aca="false">INDEX(Training!$C$120:$Q$120,3*(Unit_Cost!F$6-1)+1)</f>
        <v>16638241.355328</v>
      </c>
      <c r="G59" s="184" t="n">
        <f aca="false">INDEX(Training!$C$120:$Q$120,3*(Unit_Cost!G$6-1)+1)</f>
        <v>16638241.355328</v>
      </c>
      <c r="H59" s="184" t="n">
        <f aca="false">INDEX(Training!$C$120:$Q$120,3*(Unit_Cost!H$6-1)+1)</f>
        <v>16638241.355328</v>
      </c>
      <c r="I59" s="184" t="n">
        <f aca="false">INDEX(Training!$C$120:$Q$120,3*(Unit_Cost!I$6-1)+1)</f>
        <v>14201999.5820546</v>
      </c>
      <c r="J59" s="184" t="n">
        <f aca="false">INDEX(Training!$C$120:$Q$120,3*(Unit_Cost!J$6-1)+1)</f>
        <v>14201999.5820546</v>
      </c>
      <c r="K59" s="184" t="n">
        <f aca="false">INDEX(Training!$C$120:$Q$120,3*(Unit_Cost!K$6-1)+1)</f>
        <v>14201999.5820546</v>
      </c>
      <c r="L59" s="184" t="n">
        <f aca="false">INDEX(Training!$C$120:$Q$120,3*(Unit_Cost!L$6-1)+1)</f>
        <v>5633581.19099958</v>
      </c>
      <c r="M59" s="184" t="n">
        <f aca="false">INDEX(Training!$C$120:$Q$120,3*(Unit_Cost!M$6-1)+1)</f>
        <v>5633581.19099958</v>
      </c>
      <c r="N59" s="184" t="n">
        <f aca="false">INDEX(Training!$C$120:$Q$120,3*(Unit_Cost!N$6-1)+1)</f>
        <v>5633581.19099958</v>
      </c>
      <c r="O59" s="184" t="n">
        <f aca="false">INDEX(Training!$C$120:$Q$120,3*(Unit_Cost!O$6-1)+1)</f>
        <v>2440484.79695685</v>
      </c>
      <c r="P59" s="184" t="n">
        <f aca="false">INDEX(Training!$C$120:$Q$120,3*(Unit_Cost!P$6-1)+1)</f>
        <v>2440484.79695685</v>
      </c>
      <c r="Q59" s="184" t="n">
        <f aca="false">INDEX(Training!$C$120:$Q$120,3*(Unit_Cost!Q$6-1)+1)</f>
        <v>2440484.79695685</v>
      </c>
      <c r="R59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59" s="42" t="str">
        <f aca="false">IF(R59="—","—",IF(R59="A","基準輸入",IF(R59="B","情境、相對比較、反轉門檻","探索")))</f>
        <v>情境、相對比較、反轉門檻</v>
      </c>
      <c r="T59" s="28" t="s">
        <v>620</v>
      </c>
      <c r="U59" s="42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59" s="53" t="s">
        <v>2471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2" t="s">
        <v>2380</v>
      </c>
      <c r="B60" s="28" t="s">
        <v>877</v>
      </c>
      <c r="C60" s="184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84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84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84" t="n">
        <f aca="false">IF(ISNUMBER(INDEX(Training!$C$120:$Q$120,3*(Unit_Cost!F$6-1)+1)),INDEX(Training!$C$120:$Q$120,3*(Unit_Cost!F$6-1)+1)*Unit_Cost!F$8/1000000,INDEX(Training!$C$120:$Q$120,3*(Unit_Cost!F$6-1)+1))</f>
        <v>25.0277109184711</v>
      </c>
      <c r="G60" s="184" t="n">
        <f aca="false">IF(ISNUMBER(INDEX(Training!$C$120:$Q$120,3*(Unit_Cost!G$6-1)+1)),INDEX(Training!$C$120:$Q$120,3*(Unit_Cost!G$6-1)+1)*Unit_Cost!G$8/1000000,INDEX(Training!$C$120:$Q$120,3*(Unit_Cost!G$6-1)+1))</f>
        <v>33.4172588128753</v>
      </c>
      <c r="H60" s="184" t="n">
        <f aca="false">IF(ISNUMBER(INDEX(Training!$C$120:$Q$120,3*(Unit_Cost!H$6-1)+1)),INDEX(Training!$C$120:$Q$120,3*(Unit_Cost!H$6-1)+1)*Unit_Cost!H$8/1000000,INDEX(Training!$C$120:$Q$120,3*(Unit_Cost!H$6-1)+1))</f>
        <v>54.2001074196734</v>
      </c>
      <c r="I60" s="184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84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84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84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84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84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84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84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84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7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0" s="42" t="str">
        <f aca="false">IF(R60="—","—",IF(R60="A","基準輸入",IF(R60="B","情境、相對比較、反轉門檻","探索")))</f>
        <v>情境、相對比較、反轉門檻</v>
      </c>
      <c r="T60" s="28" t="s">
        <v>620</v>
      </c>
      <c r="U60" s="42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0" s="53" t="s">
        <v>2472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2" t="s">
        <v>2473</v>
      </c>
      <c r="B61" s="28" t="s">
        <v>99</v>
      </c>
      <c r="C61" s="191" t="n">
        <f aca="false">INDEX(Training!$C$123:$Q$123,3*(Unit_Cost!C$6-1)+1)</f>
        <v>0.00927434400031541</v>
      </c>
      <c r="D61" s="191" t="n">
        <f aca="false">INDEX(Training!$C$123:$Q$123,3*(Unit_Cost!D$6-1)+1)</f>
        <v>0.00927434400031541</v>
      </c>
      <c r="E61" s="191" t="n">
        <f aca="false">INDEX(Training!$C$123:$Q$123,3*(Unit_Cost!E$6-1)+1)</f>
        <v>0.00927434400031541</v>
      </c>
      <c r="F61" s="191" t="n">
        <f aca="false">INDEX(Training!$C$123:$Q$123,3*(Unit_Cost!F$6-1)+1)</f>
        <v>0.00378530041866208</v>
      </c>
      <c r="G61" s="191" t="n">
        <f aca="false">INDEX(Training!$C$123:$Q$123,3*(Unit_Cost!G$6-1)+1)</f>
        <v>0.00378530041866208</v>
      </c>
      <c r="H61" s="191" t="n">
        <f aca="false">INDEX(Training!$C$123:$Q$123,3*(Unit_Cost!H$6-1)+1)</f>
        <v>0.00378530041866208</v>
      </c>
      <c r="I61" s="191" t="n">
        <f aca="false">INDEX(Training!$C$123:$Q$123,3*(Unit_Cost!I$6-1)+1)</f>
        <v>0.00332896549749013</v>
      </c>
      <c r="J61" s="191" t="n">
        <f aca="false">INDEX(Training!$C$123:$Q$123,3*(Unit_Cost!J$6-1)+1)</f>
        <v>0.00332896549749013</v>
      </c>
      <c r="K61" s="191" t="n">
        <f aca="false">INDEX(Training!$C$123:$Q$123,3*(Unit_Cost!K$6-1)+1)</f>
        <v>0.00332896549749013</v>
      </c>
      <c r="L61" s="191" t="n">
        <f aca="false">INDEX(Training!$C$123:$Q$123,3*(Unit_Cost!L$6-1)+1)</f>
        <v>0.00220433968028437</v>
      </c>
      <c r="M61" s="191" t="n">
        <f aca="false">INDEX(Training!$C$123:$Q$123,3*(Unit_Cost!M$6-1)+1)</f>
        <v>0.00220433968028437</v>
      </c>
      <c r="N61" s="191" t="n">
        <f aca="false">INDEX(Training!$C$123:$Q$123,3*(Unit_Cost!N$6-1)+1)</f>
        <v>0.00220433968028437</v>
      </c>
      <c r="O61" s="191" t="n">
        <f aca="false">INDEX(Training!$C$123:$Q$123,3*(Unit_Cost!O$6-1)+1)</f>
        <v>0.00143044852589726</v>
      </c>
      <c r="P61" s="191" t="n">
        <f aca="false">INDEX(Training!$C$123:$Q$123,3*(Unit_Cost!P$6-1)+1)</f>
        <v>0.00143044852589726</v>
      </c>
      <c r="Q61" s="191" t="n">
        <f aca="false">INDEX(Training!$C$123:$Q$123,3*(Unit_Cost!Q$6-1)+1)</f>
        <v>0.00143044852589726</v>
      </c>
      <c r="R61" s="17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1" s="42" t="str">
        <f aca="false">IF(R61="—","—",IF(R61="A","基準輸入",IF(R61="B","情境、相對比較、反轉門檻","探索")))</f>
        <v>情境、相對比較、反轉門檻</v>
      </c>
      <c r="T61" s="28" t="s">
        <v>620</v>
      </c>
      <c r="U61" s="42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1" s="53" t="s">
        <v>2474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263</v>
      </c>
    </row>
    <row r="63" customFormat="false" ht="15" hidden="false" customHeight="true" outlineLevel="0" collapsed="false">
      <c r="A63" s="42" t="s">
        <v>2475</v>
      </c>
      <c r="B63" s="28" t="s">
        <v>1023</v>
      </c>
      <c r="C63" s="47" t="n">
        <f aca="false">INDEX(Training!$C$106:$Q$106,3*(Unit_Cost!C$6-1)+2)</f>
        <v>20252042.4874034</v>
      </c>
      <c r="D63" s="47" t="n">
        <f aca="false">INDEX(Training!$C$106:$Q$106,3*(Unit_Cost!D$6-1)+2)</f>
        <v>20252042.4874034</v>
      </c>
      <c r="E63" s="47" t="n">
        <f aca="false">INDEX(Training!$C$106:$Q$106,3*(Unit_Cost!E$6-1)+2)</f>
        <v>20252042.4874034</v>
      </c>
      <c r="F63" s="47" t="n">
        <f aca="false">INDEX(Training!$C$106:$Q$106,3*(Unit_Cost!F$6-1)+2)</f>
        <v>6152335.11648947</v>
      </c>
      <c r="G63" s="47" t="n">
        <f aca="false">INDEX(Training!$C$106:$Q$106,3*(Unit_Cost!G$6-1)+2)</f>
        <v>6152335.11648947</v>
      </c>
      <c r="H63" s="47" t="n">
        <f aca="false">INDEX(Training!$C$106:$Q$106,3*(Unit_Cost!H$6-1)+2)</f>
        <v>6152335.11648947</v>
      </c>
      <c r="I63" s="47" t="n">
        <f aca="false">INDEX(Training!$C$106:$Q$106,3*(Unit_Cost!I$6-1)+2)</f>
        <v>5453953.11066573</v>
      </c>
      <c r="J63" s="47" t="n">
        <f aca="false">INDEX(Training!$C$106:$Q$106,3*(Unit_Cost!J$6-1)+2)</f>
        <v>5453953.11066573</v>
      </c>
      <c r="K63" s="47" t="n">
        <f aca="false">INDEX(Training!$C$106:$Q$106,3*(Unit_Cost!K$6-1)+2)</f>
        <v>5453953.11066573</v>
      </c>
      <c r="L63" s="47" t="n">
        <f aca="false">INDEX(Training!$C$106:$Q$106,3*(Unit_Cost!L$6-1)+2)</f>
        <v>2051289.25958755</v>
      </c>
      <c r="M63" s="47" t="n">
        <f aca="false">INDEX(Training!$C$106:$Q$106,3*(Unit_Cost!M$6-1)+2)</f>
        <v>2051289.25958755</v>
      </c>
      <c r="N63" s="47" t="n">
        <f aca="false">INDEX(Training!$C$106:$Q$106,3*(Unit_Cost!N$6-1)+2)</f>
        <v>2051289.25958755</v>
      </c>
      <c r="O63" s="47" t="n">
        <f aca="false">INDEX(Training!$C$106:$Q$106,3*(Unit_Cost!O$6-1)+2)</f>
        <v>919050.37142924</v>
      </c>
      <c r="P63" s="47" t="n">
        <f aca="false">INDEX(Training!$C$106:$Q$106,3*(Unit_Cost!P$6-1)+2)</f>
        <v>919050.37142924</v>
      </c>
      <c r="Q63" s="47" t="n">
        <f aca="false">INDEX(Training!$C$106:$Q$106,3*(Unit_Cost!Q$6-1)+2)</f>
        <v>919050.37142924</v>
      </c>
      <c r="R63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63" s="42" t="str">
        <f aca="false">IF(R63="—","—",IF(R63="A","基準輸入",IF(R63="B","情境、相對比較、反轉門檻","探索")))</f>
        <v>情境、相對比較、反轉門檻</v>
      </c>
      <c r="T63" s="28" t="s">
        <v>620</v>
      </c>
      <c r="U63" s="42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63" s="53" t="s">
        <v>2461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2" t="s">
        <v>2476</v>
      </c>
      <c r="B64" s="28" t="s">
        <v>877</v>
      </c>
      <c r="C64" s="188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88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88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88" t="n">
        <f aca="false">IF(ISNUMBER(INDEX(Training!$C$106:$Q$106,3*(Unit_Cost!F$6-1)+2)),INDEX(Training!$C$106:$Q$106,3*(Unit_Cost!F$6-1)+2)*Unit_Cost!F$8/1000000,INDEX(Training!$C$106:$Q$106,3*(Unit_Cost!F$6-1)+2))</f>
        <v>9.25451563543696</v>
      </c>
      <c r="G64" s="188" t="n">
        <f aca="false">IF(ISNUMBER(INDEX(Training!$C$106:$Q$106,3*(Unit_Cost!G$6-1)+2)),INDEX(Training!$C$106:$Q$106,3*(Unit_Cost!G$6-1)+2)*Unit_Cost!G$8/1000000,INDEX(Training!$C$106:$Q$106,3*(Unit_Cost!G$6-1)+2))</f>
        <v>12.3567251189942</v>
      </c>
      <c r="H64" s="188" t="n">
        <f aca="false">IF(ISNUMBER(INDEX(Training!$C$106:$Q$106,3*(Unit_Cost!H$6-1)+2)),INDEX(Training!$C$106:$Q$106,3*(Unit_Cost!H$6-1)+2)*Unit_Cost!H$8/1000000,INDEX(Training!$C$106:$Q$106,3*(Unit_Cost!H$6-1)+2))</f>
        <v>20.041614800159</v>
      </c>
      <c r="I64" s="188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88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88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88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88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88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88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88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88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7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64" s="42" t="str">
        <f aca="false">IF(R64="—","—",IF(R64="A","基準輸入",IF(R64="B","情境、相對比較、反轉門檻","探索")))</f>
        <v>情境、相對比較、反轉門檻</v>
      </c>
      <c r="T64" s="28" t="s">
        <v>620</v>
      </c>
      <c r="U64" s="42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64" s="53" t="s">
        <v>2463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2" t="s">
        <v>2477</v>
      </c>
      <c r="B65" s="28" t="s">
        <v>99</v>
      </c>
      <c r="C65" s="189" t="n">
        <f aca="false">INDEX(Training!$C$110:$Q$110,3*(Unit_Cost!C$6-1)+2)</f>
        <v>0.127029214627552</v>
      </c>
      <c r="D65" s="189" t="n">
        <f aca="false">INDEX(Training!$C$110:$Q$110,3*(Unit_Cost!D$6-1)+2)</f>
        <v>0.127029214627552</v>
      </c>
      <c r="E65" s="189" t="n">
        <f aca="false">INDEX(Training!$C$110:$Q$110,3*(Unit_Cost!E$6-1)+2)</f>
        <v>0.127029214627552</v>
      </c>
      <c r="F65" s="189" t="n">
        <f aca="false">INDEX(Training!$C$110:$Q$110,3*(Unit_Cost!F$6-1)+2)</f>
        <v>0.127029214627552</v>
      </c>
      <c r="G65" s="189" t="n">
        <f aca="false">INDEX(Training!$C$110:$Q$110,3*(Unit_Cost!G$6-1)+2)</f>
        <v>0.127029214627552</v>
      </c>
      <c r="H65" s="189" t="n">
        <f aca="false">INDEX(Training!$C$110:$Q$110,3*(Unit_Cost!H$6-1)+2)</f>
        <v>0.127029214627552</v>
      </c>
      <c r="I65" s="189" t="n">
        <f aca="false">INDEX(Training!$C$110:$Q$110,3*(Unit_Cost!I$6-1)+2)</f>
        <v>0.127029214627552</v>
      </c>
      <c r="J65" s="189" t="n">
        <f aca="false">INDEX(Training!$C$110:$Q$110,3*(Unit_Cost!J$6-1)+2)</f>
        <v>0.127029214627552</v>
      </c>
      <c r="K65" s="189" t="n">
        <f aca="false">INDEX(Training!$C$110:$Q$110,3*(Unit_Cost!K$6-1)+2)</f>
        <v>0.127029214627552</v>
      </c>
      <c r="L65" s="189" t="n">
        <f aca="false">INDEX(Training!$C$110:$Q$110,3*(Unit_Cost!L$6-1)+2)</f>
        <v>0.127029214627552</v>
      </c>
      <c r="M65" s="189" t="n">
        <f aca="false">INDEX(Training!$C$110:$Q$110,3*(Unit_Cost!M$6-1)+2)</f>
        <v>0.127029214627552</v>
      </c>
      <c r="N65" s="189" t="n">
        <f aca="false">INDEX(Training!$C$110:$Q$110,3*(Unit_Cost!N$6-1)+2)</f>
        <v>0.127029214627552</v>
      </c>
      <c r="O65" s="189" t="n">
        <f aca="false">INDEX(Training!$C$110:$Q$110,3*(Unit_Cost!O$6-1)+2)</f>
        <v>0.127029214627552</v>
      </c>
      <c r="P65" s="189" t="n">
        <f aca="false">INDEX(Training!$C$110:$Q$110,3*(Unit_Cost!P$6-1)+2)</f>
        <v>0.127029214627552</v>
      </c>
      <c r="Q65" s="189" t="n">
        <f aca="false">INDEX(Training!$C$110:$Q$110,3*(Unit_Cost!Q$6-1)+2)</f>
        <v>0.127029214627552</v>
      </c>
      <c r="R65" s="17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2" t="str">
        <f aca="false">IF(R65="—","—",IF(R65="A","基準輸入",IF(R65="B","情境、相對比較、反轉門檻","探索")))</f>
        <v>情境、相對比較、反轉門檻</v>
      </c>
      <c r="T65" s="28" t="s">
        <v>620</v>
      </c>
      <c r="U65" s="42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53" t="s">
        <v>2465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2" t="s">
        <v>2478</v>
      </c>
      <c r="B66" s="28" t="s">
        <v>99</v>
      </c>
      <c r="C66" s="190" t="n">
        <f aca="false">INDEX(Training!$C$111:$Q$111,3*(Unit_Cost!C$6-1)+2)</f>
        <v>0.338532361439256</v>
      </c>
      <c r="D66" s="190" t="n">
        <f aca="false">INDEX(Training!$C$111:$Q$111,3*(Unit_Cost!D$6-1)+2)</f>
        <v>0.338532361439256</v>
      </c>
      <c r="E66" s="190" t="n">
        <f aca="false">INDEX(Training!$C$111:$Q$111,3*(Unit_Cost!E$6-1)+2)</f>
        <v>0.338532361439256</v>
      </c>
      <c r="F66" s="190" t="n">
        <f aca="false">INDEX(Training!$C$111:$Q$111,3*(Unit_Cost!F$6-1)+2)</f>
        <v>0.267986465704979</v>
      </c>
      <c r="G66" s="190" t="n">
        <f aca="false">INDEX(Training!$C$111:$Q$111,3*(Unit_Cost!G$6-1)+2)</f>
        <v>0.267986465704979</v>
      </c>
      <c r="H66" s="190" t="n">
        <f aca="false">INDEX(Training!$C$111:$Q$111,3*(Unit_Cost!H$6-1)+2)</f>
        <v>0.267986465704979</v>
      </c>
      <c r="I66" s="190" t="n">
        <f aca="false">INDEX(Training!$C$111:$Q$111,3*(Unit_Cost!I$6-1)+2)</f>
        <v>0.235738956226448</v>
      </c>
      <c r="J66" s="190" t="n">
        <f aca="false">INDEX(Training!$C$111:$Q$111,3*(Unit_Cost!J$6-1)+2)</f>
        <v>0.235738956226448</v>
      </c>
      <c r="K66" s="190" t="n">
        <f aca="false">INDEX(Training!$C$111:$Q$111,3*(Unit_Cost!K$6-1)+2)</f>
        <v>0.235738956226448</v>
      </c>
      <c r="L66" s="190" t="n">
        <f aca="false">INDEX(Training!$C$111:$Q$111,3*(Unit_Cost!L$6-1)+2)</f>
        <v>0.282310936548276</v>
      </c>
      <c r="M66" s="190" t="n">
        <f aca="false">INDEX(Training!$C$111:$Q$111,3*(Unit_Cost!M$6-1)+2)</f>
        <v>0.282310936548276</v>
      </c>
      <c r="N66" s="190" t="n">
        <f aca="false">INDEX(Training!$C$111:$Q$111,3*(Unit_Cost!N$6-1)+2)</f>
        <v>0.282310936548276</v>
      </c>
      <c r="O66" s="190" t="n">
        <f aca="false">INDEX(Training!$C$111:$Q$111,3*(Unit_Cost!O$6-1)+2)</f>
        <v>0.254949018157508</v>
      </c>
      <c r="P66" s="190" t="n">
        <f aca="false">INDEX(Training!$C$111:$Q$111,3*(Unit_Cost!P$6-1)+2)</f>
        <v>0.254949018157508</v>
      </c>
      <c r="Q66" s="190" t="n">
        <f aca="false">INDEX(Training!$C$111:$Q$111,3*(Unit_Cost!Q$6-1)+2)</f>
        <v>0.254949018157508</v>
      </c>
      <c r="R66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66" s="42" t="str">
        <f aca="false">IF(R66="—","—",IF(R66="A","基準輸入",IF(R66="B","情境、相對比較、反轉門檻","探索")))</f>
        <v>情境、相對比較、反轉門檻</v>
      </c>
      <c r="T66" s="28" t="s">
        <v>620</v>
      </c>
      <c r="U66" s="42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66" s="53" t="s">
        <v>2467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2479</v>
      </c>
      <c r="B67" s="28" t="s">
        <v>99</v>
      </c>
      <c r="C67" s="189" t="n">
        <f aca="false">INDEX(Training!$C$77:$Q$77,3*(Unit_Cost!C$6-1)+2)</f>
        <v>0.062804610455095</v>
      </c>
      <c r="D67" s="189" t="n">
        <f aca="false">INDEX(Training!$C$77:$Q$77,3*(Unit_Cost!D$6-1)+2)</f>
        <v>0.062804610455095</v>
      </c>
      <c r="E67" s="189" t="n">
        <f aca="false">INDEX(Training!$C$77:$Q$77,3*(Unit_Cost!E$6-1)+2)</f>
        <v>0.062804610455095</v>
      </c>
      <c r="F67" s="189" t="n">
        <f aca="false">INDEX(Training!$C$77:$Q$77,3*(Unit_Cost!F$6-1)+2)</f>
        <v>0.0874404965486068</v>
      </c>
      <c r="G67" s="189" t="n">
        <f aca="false">INDEX(Training!$C$77:$Q$77,3*(Unit_Cost!G$6-1)+2)</f>
        <v>0.0874404965486068</v>
      </c>
      <c r="H67" s="189" t="n">
        <f aca="false">INDEX(Training!$C$77:$Q$77,3*(Unit_Cost!H$6-1)+2)</f>
        <v>0.0874404965486068</v>
      </c>
      <c r="I67" s="189" t="n">
        <f aca="false">INDEX(Training!$C$77:$Q$77,3*(Unit_Cost!I$6-1)+2)</f>
        <v>0.103815837007901</v>
      </c>
      <c r="J67" s="189" t="n">
        <f aca="false">INDEX(Training!$C$77:$Q$77,3*(Unit_Cost!J$6-1)+2)</f>
        <v>0.103815837007901</v>
      </c>
      <c r="K67" s="189" t="n">
        <f aca="false">INDEX(Training!$C$77:$Q$77,3*(Unit_Cost!K$6-1)+2)</f>
        <v>0.103815837007901</v>
      </c>
      <c r="L67" s="189" t="n">
        <f aca="false">INDEX(Training!$C$77:$Q$77,3*(Unit_Cost!L$6-1)+2)</f>
        <v>0.0731801304364245</v>
      </c>
      <c r="M67" s="189" t="n">
        <f aca="false">INDEX(Training!$C$77:$Q$77,3*(Unit_Cost!M$6-1)+2)</f>
        <v>0.0731801304364245</v>
      </c>
      <c r="N67" s="189" t="n">
        <f aca="false">INDEX(Training!$C$77:$Q$77,3*(Unit_Cost!N$6-1)+2)</f>
        <v>0.0731801304364245</v>
      </c>
      <c r="O67" s="189" t="n">
        <f aca="false">INDEX(Training!$C$77:$Q$77,3*(Unit_Cost!O$6-1)+2)</f>
        <v>0.0842149737466073</v>
      </c>
      <c r="P67" s="189" t="n">
        <f aca="false">INDEX(Training!$C$77:$Q$77,3*(Unit_Cost!P$6-1)+2)</f>
        <v>0.0842149737466073</v>
      </c>
      <c r="Q67" s="189" t="n">
        <f aca="false">INDEX(Training!$C$77:$Q$77,3*(Unit_Cost!Q$6-1)+2)</f>
        <v>0.0842149737466073</v>
      </c>
      <c r="R67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67" s="42" t="str">
        <f aca="false">IF(R67="—","—",IF(R67="A","基準輸入",IF(R67="B","情境、相對比較、反轉門檻","探索")))</f>
        <v>情境、相對比較、反轉門檻</v>
      </c>
      <c r="T67" s="28" t="s">
        <v>620</v>
      </c>
      <c r="U67" s="42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67" s="53" t="s">
        <v>2469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2" t="s">
        <v>2480</v>
      </c>
      <c r="B68" s="28" t="s">
        <v>1023</v>
      </c>
      <c r="C68" s="184" t="n">
        <f aca="false">INDEX(Training!$C$120:$Q$120,3*(Unit_Cost!C$6-1)+2)</f>
        <v>162016339.899227</v>
      </c>
      <c r="D68" s="184" t="n">
        <f aca="false">INDEX(Training!$C$120:$Q$120,3*(Unit_Cost!D$6-1)+2)</f>
        <v>162016339.899227</v>
      </c>
      <c r="E68" s="184" t="n">
        <f aca="false">INDEX(Training!$C$120:$Q$120,3*(Unit_Cost!E$6-1)+2)</f>
        <v>162016339.899227</v>
      </c>
      <c r="F68" s="184" t="n">
        <f aca="false">INDEX(Training!$C$120:$Q$120,3*(Unit_Cost!F$6-1)+2)</f>
        <v>49218680.9319158</v>
      </c>
      <c r="G68" s="184" t="n">
        <f aca="false">INDEX(Training!$C$120:$Q$120,3*(Unit_Cost!G$6-1)+2)</f>
        <v>49218680.9319158</v>
      </c>
      <c r="H68" s="184" t="n">
        <f aca="false">INDEX(Training!$C$120:$Q$120,3*(Unit_Cost!H$6-1)+2)</f>
        <v>49218680.9319158</v>
      </c>
      <c r="I68" s="184" t="n">
        <f aca="false">INDEX(Training!$C$120:$Q$120,3*(Unit_Cost!I$6-1)+2)</f>
        <v>43631624.8853258</v>
      </c>
      <c r="J68" s="184" t="n">
        <f aca="false">INDEX(Training!$C$120:$Q$120,3*(Unit_Cost!J$6-1)+2)</f>
        <v>43631624.8853258</v>
      </c>
      <c r="K68" s="184" t="n">
        <f aca="false">INDEX(Training!$C$120:$Q$120,3*(Unit_Cost!K$6-1)+2)</f>
        <v>43631624.8853258</v>
      </c>
      <c r="L68" s="184" t="n">
        <f aca="false">INDEX(Training!$C$120:$Q$120,3*(Unit_Cost!L$6-1)+2)</f>
        <v>16410314.0767004</v>
      </c>
      <c r="M68" s="184" t="n">
        <f aca="false">INDEX(Training!$C$120:$Q$120,3*(Unit_Cost!M$6-1)+2)</f>
        <v>16410314.0767004</v>
      </c>
      <c r="N68" s="184" t="n">
        <f aca="false">INDEX(Training!$C$120:$Q$120,3*(Unit_Cost!N$6-1)+2)</f>
        <v>16410314.0767004</v>
      </c>
      <c r="O68" s="184" t="n">
        <f aca="false">INDEX(Training!$C$120:$Q$120,3*(Unit_Cost!O$6-1)+2)</f>
        <v>7352402.97143392</v>
      </c>
      <c r="P68" s="184" t="n">
        <f aca="false">INDEX(Training!$C$120:$Q$120,3*(Unit_Cost!P$6-1)+2)</f>
        <v>7352402.97143392</v>
      </c>
      <c r="Q68" s="184" t="n">
        <f aca="false">INDEX(Training!$C$120:$Q$120,3*(Unit_Cost!Q$6-1)+2)</f>
        <v>7352402.97143392</v>
      </c>
      <c r="R68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8" s="42" t="str">
        <f aca="false">IF(R68="—","—",IF(R68="A","基準輸入",IF(R68="B","情境、相對比較、反轉門檻","探索")))</f>
        <v>情境、相對比較、反轉門檻</v>
      </c>
      <c r="T68" s="28" t="s">
        <v>620</v>
      </c>
      <c r="U68" s="42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8" s="53" t="s">
        <v>2471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2" t="s">
        <v>2381</v>
      </c>
      <c r="B69" s="28" t="s">
        <v>877</v>
      </c>
      <c r="C69" s="184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84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84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84" t="n">
        <f aca="false">IF(ISNUMBER(INDEX(Training!$C$120:$Q$120,3*(Unit_Cost!F$6-1)+2)),INDEX(Training!$C$120:$Q$120,3*(Unit_Cost!F$6-1)+2)*Unit_Cost!F$8/1000000,INDEX(Training!$C$120:$Q$120,3*(Unit_Cost!F$6-1)+2))</f>
        <v>74.0361250834957</v>
      </c>
      <c r="G69" s="184" t="n">
        <f aca="false">IF(ISNUMBER(INDEX(Training!$C$120:$Q$120,3*(Unit_Cost!G$6-1)+2)),INDEX(Training!$C$120:$Q$120,3*(Unit_Cost!G$6-1)+2)*Unit_Cost!G$8/1000000,INDEX(Training!$C$120:$Q$120,3*(Unit_Cost!G$6-1)+2))</f>
        <v>98.8538009519539</v>
      </c>
      <c r="H69" s="184" t="n">
        <f aca="false">IF(ISNUMBER(INDEX(Training!$C$120:$Q$120,3*(Unit_Cost!H$6-1)+2)),INDEX(Training!$C$120:$Q$120,3*(Unit_Cost!H$6-1)+2)*Unit_Cost!H$8/1000000,INDEX(Training!$C$120:$Q$120,3*(Unit_Cost!H$6-1)+2))</f>
        <v>160.332918401272</v>
      </c>
      <c r="I69" s="184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84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84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84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84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84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84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84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84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7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9" s="42" t="str">
        <f aca="false">IF(R69="—","—",IF(R69="A","基準輸入",IF(R69="B","情境、相對比較、反轉門檻","探索")))</f>
        <v>情境、相對比較、反轉門檻</v>
      </c>
      <c r="T69" s="28" t="s">
        <v>620</v>
      </c>
      <c r="U69" s="42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9" s="53" t="s">
        <v>2472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2" t="s">
        <v>2481</v>
      </c>
      <c r="B70" s="28" t="s">
        <v>99</v>
      </c>
      <c r="C70" s="191" t="n">
        <f aca="false">INDEX(Training!$C$123:$Q$123,3*(Unit_Cost!C$6-1)+2)</f>
        <v>0.0257573532274046</v>
      </c>
      <c r="D70" s="191" t="n">
        <f aca="false">INDEX(Training!$C$123:$Q$123,3*(Unit_Cost!D$6-1)+2)</f>
        <v>0.0257573532274046</v>
      </c>
      <c r="E70" s="191" t="n">
        <f aca="false">INDEX(Training!$C$123:$Q$123,3*(Unit_Cost!E$6-1)+2)</f>
        <v>0.0257573532274046</v>
      </c>
      <c r="F70" s="191" t="n">
        <f aca="false">INDEX(Training!$C$123:$Q$123,3*(Unit_Cost!F$6-1)+2)</f>
        <v>0.0111975472382432</v>
      </c>
      <c r="G70" s="191" t="n">
        <f aca="false">INDEX(Training!$C$123:$Q$123,3*(Unit_Cost!G$6-1)+2)</f>
        <v>0.0111975472382432</v>
      </c>
      <c r="H70" s="191" t="n">
        <f aca="false">INDEX(Training!$C$123:$Q$123,3*(Unit_Cost!H$6-1)+2)</f>
        <v>0.0111975472382432</v>
      </c>
      <c r="I70" s="191" t="n">
        <f aca="false">INDEX(Training!$C$123:$Q$123,3*(Unit_Cost!I$6-1)+2)</f>
        <v>0.0102273044724078</v>
      </c>
      <c r="J70" s="191" t="n">
        <f aca="false">INDEX(Training!$C$123:$Q$123,3*(Unit_Cost!J$6-1)+2)</f>
        <v>0.0102273044724078</v>
      </c>
      <c r="K70" s="191" t="n">
        <f aca="false">INDEX(Training!$C$123:$Q$123,3*(Unit_Cost!K$6-1)+2)</f>
        <v>0.0102273044724078</v>
      </c>
      <c r="L70" s="191" t="n">
        <f aca="false">INDEX(Training!$C$123:$Q$123,3*(Unit_Cost!L$6-1)+2)</f>
        <v>0.00642112099901794</v>
      </c>
      <c r="M70" s="191" t="n">
        <f aca="false">INDEX(Training!$C$123:$Q$123,3*(Unit_Cost!M$6-1)+2)</f>
        <v>0.00642112099901794</v>
      </c>
      <c r="N70" s="191" t="n">
        <f aca="false">INDEX(Training!$C$123:$Q$123,3*(Unit_Cost!N$6-1)+2)</f>
        <v>0.00642112099901794</v>
      </c>
      <c r="O70" s="191" t="n">
        <f aca="false">INDEX(Training!$C$123:$Q$123,3*(Unit_Cost!O$6-1)+2)</f>
        <v>0.00430948556016603</v>
      </c>
      <c r="P70" s="191" t="n">
        <f aca="false">INDEX(Training!$C$123:$Q$123,3*(Unit_Cost!P$6-1)+2)</f>
        <v>0.00430948556016603</v>
      </c>
      <c r="Q70" s="191" t="n">
        <f aca="false">INDEX(Training!$C$123:$Q$123,3*(Unit_Cost!Q$6-1)+2)</f>
        <v>0.00430948556016603</v>
      </c>
      <c r="R70" s="17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0" s="42" t="str">
        <f aca="false">IF(R70="—","—",IF(R70="A","基準輸入",IF(R70="B","情境、相對比較、反轉門檻","探索")))</f>
        <v>情境、相對比較、反轉門檻</v>
      </c>
      <c r="T70" s="28" t="s">
        <v>620</v>
      </c>
      <c r="U70" s="42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0" s="53" t="s">
        <v>2474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264</v>
      </c>
    </row>
    <row r="72" customFormat="false" ht="15" hidden="false" customHeight="true" outlineLevel="0" collapsed="false">
      <c r="A72" s="42" t="s">
        <v>2482</v>
      </c>
      <c r="B72" s="28" t="s">
        <v>1023</v>
      </c>
      <c r="C72" s="47" t="n">
        <f aca="false">INDEX(Training!$C$106:$Q$106,3*(Unit_Cost!C$6-1)+3)</f>
        <v>123323821.116157</v>
      </c>
      <c r="D72" s="47" t="n">
        <f aca="false">INDEX(Training!$C$106:$Q$106,3*(Unit_Cost!D$6-1)+3)</f>
        <v>123323821.116157</v>
      </c>
      <c r="E72" s="47" t="n">
        <f aca="false">INDEX(Training!$C$106:$Q$106,3*(Unit_Cost!E$6-1)+3)</f>
        <v>123323821.116157</v>
      </c>
      <c r="F72" s="47" t="n">
        <f aca="false">INDEX(Training!$C$106:$Q$106,3*(Unit_Cost!F$6-1)+3)</f>
        <v>38678967.4074746</v>
      </c>
      <c r="G72" s="47" t="n">
        <f aca="false">INDEX(Training!$C$106:$Q$106,3*(Unit_Cost!G$6-1)+3)</f>
        <v>38678967.4074746</v>
      </c>
      <c r="H72" s="47" t="n">
        <f aca="false">INDEX(Training!$C$106:$Q$106,3*(Unit_Cost!H$6-1)+3)</f>
        <v>38678967.4074746</v>
      </c>
      <c r="I72" s="47" t="n">
        <f aca="false">INDEX(Training!$C$106:$Q$106,3*(Unit_Cost!I$6-1)+3)</f>
        <v>34975510.1307514</v>
      </c>
      <c r="J72" s="47" t="n">
        <f aca="false">INDEX(Training!$C$106:$Q$106,3*(Unit_Cost!J$6-1)+3)</f>
        <v>34975510.1307514</v>
      </c>
      <c r="K72" s="47" t="n">
        <f aca="false">INDEX(Training!$C$106:$Q$106,3*(Unit_Cost!K$6-1)+3)</f>
        <v>34975510.1307514</v>
      </c>
      <c r="L72" s="47" t="n">
        <f aca="false">INDEX(Training!$C$106:$Q$106,3*(Unit_Cost!L$6-1)+3)</f>
        <v>12784087.465584</v>
      </c>
      <c r="M72" s="47" t="n">
        <f aca="false">INDEX(Training!$C$106:$Q$106,3*(Unit_Cost!M$6-1)+3)</f>
        <v>12784087.465584</v>
      </c>
      <c r="N72" s="47" t="n">
        <f aca="false">INDEX(Training!$C$106:$Q$106,3*(Unit_Cost!N$6-1)+3)</f>
        <v>12784087.465584</v>
      </c>
      <c r="O72" s="47" t="n">
        <f aca="false">INDEX(Training!$C$106:$Q$106,3*(Unit_Cost!O$6-1)+3)</f>
        <v>5811483.35408388</v>
      </c>
      <c r="P72" s="47" t="n">
        <f aca="false">INDEX(Training!$C$106:$Q$106,3*(Unit_Cost!P$6-1)+3)</f>
        <v>5811483.35408388</v>
      </c>
      <c r="Q72" s="47" t="n">
        <f aca="false">INDEX(Training!$C$106:$Q$106,3*(Unit_Cost!Q$6-1)+3)</f>
        <v>5811483.35408388</v>
      </c>
      <c r="R72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72" s="42" t="str">
        <f aca="false">IF(R72="—","—",IF(R72="A","基準輸入",IF(R72="B","情境、相對比較、反轉門檻","探索")))</f>
        <v>情境、相對比較、反轉門檻</v>
      </c>
      <c r="T72" s="28" t="s">
        <v>620</v>
      </c>
      <c r="U72" s="42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72" s="53" t="s">
        <v>2461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2" t="s">
        <v>2483</v>
      </c>
      <c r="B73" s="28" t="s">
        <v>877</v>
      </c>
      <c r="C73" s="188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88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88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88" t="n">
        <f aca="false">IF(ISNUMBER(INDEX(Training!$C$106:$Q$106,3*(Unit_Cost!F$6-1)+3)),INDEX(Training!$C$106:$Q$106,3*(Unit_Cost!F$6-1)+3)*Unit_Cost!F$8/1000000,INDEX(Training!$C$106:$Q$106,3*(Unit_Cost!F$6-1)+3))</f>
        <v>58.1819913670892</v>
      </c>
      <c r="G73" s="188" t="n">
        <f aca="false">IF(ISNUMBER(INDEX(Training!$C$106:$Q$106,3*(Unit_Cost!G$6-1)+3)),INDEX(Training!$C$106:$Q$106,3*(Unit_Cost!G$6-1)+3)*Unit_Cost!G$8/1000000,INDEX(Training!$C$106:$Q$106,3*(Unit_Cost!G$6-1)+3))</f>
        <v>77.6851974236113</v>
      </c>
      <c r="H73" s="188" t="n">
        <f aca="false">IF(ISNUMBER(INDEX(Training!$C$106:$Q$106,3*(Unit_Cost!H$6-1)+3)),INDEX(Training!$C$106:$Q$106,3*(Unit_Cost!H$6-1)+3)*Unit_Cost!H$8/1000000,INDEX(Training!$C$106:$Q$106,3*(Unit_Cost!H$6-1)+3))</f>
        <v>125.99914519787</v>
      </c>
      <c r="I73" s="188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88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88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88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88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88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88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88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88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7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73" s="42" t="str">
        <f aca="false">IF(R73="—","—",IF(R73="A","基準輸入",IF(R73="B","情境、相對比較、反轉門檻","探索")))</f>
        <v>情境、相對比較、反轉門檻</v>
      </c>
      <c r="T73" s="28" t="s">
        <v>620</v>
      </c>
      <c r="U73" s="42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73" s="53" t="s">
        <v>2463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2" t="s">
        <v>2484</v>
      </c>
      <c r="B74" s="28" t="s">
        <v>99</v>
      </c>
      <c r="C74" s="189" t="n">
        <f aca="false">INDEX(Training!$C$110:$Q$110,3*(Unit_Cost!C$6-1)+3)</f>
        <v>0.268885180199482</v>
      </c>
      <c r="D74" s="189" t="n">
        <f aca="false">INDEX(Training!$C$110:$Q$110,3*(Unit_Cost!D$6-1)+3)</f>
        <v>0.268885180199482</v>
      </c>
      <c r="E74" s="189" t="n">
        <f aca="false">INDEX(Training!$C$110:$Q$110,3*(Unit_Cost!E$6-1)+3)</f>
        <v>0.268885180199482</v>
      </c>
      <c r="F74" s="189" t="n">
        <f aca="false">INDEX(Training!$C$110:$Q$110,3*(Unit_Cost!F$6-1)+3)</f>
        <v>0.268885180199482</v>
      </c>
      <c r="G74" s="189" t="n">
        <f aca="false">INDEX(Training!$C$110:$Q$110,3*(Unit_Cost!G$6-1)+3)</f>
        <v>0.268885180199482</v>
      </c>
      <c r="H74" s="189" t="n">
        <f aca="false">INDEX(Training!$C$110:$Q$110,3*(Unit_Cost!H$6-1)+3)</f>
        <v>0.268885180199482</v>
      </c>
      <c r="I74" s="189" t="n">
        <f aca="false">INDEX(Training!$C$110:$Q$110,3*(Unit_Cost!I$6-1)+3)</f>
        <v>0.268885180199482</v>
      </c>
      <c r="J74" s="189" t="n">
        <f aca="false">INDEX(Training!$C$110:$Q$110,3*(Unit_Cost!J$6-1)+3)</f>
        <v>0.268885180199482</v>
      </c>
      <c r="K74" s="189" t="n">
        <f aca="false">INDEX(Training!$C$110:$Q$110,3*(Unit_Cost!K$6-1)+3)</f>
        <v>0.268885180199482</v>
      </c>
      <c r="L74" s="189" t="n">
        <f aca="false">INDEX(Training!$C$110:$Q$110,3*(Unit_Cost!L$6-1)+3)</f>
        <v>0.268885180199482</v>
      </c>
      <c r="M74" s="189" t="n">
        <f aca="false">INDEX(Training!$C$110:$Q$110,3*(Unit_Cost!M$6-1)+3)</f>
        <v>0.268885180199482</v>
      </c>
      <c r="N74" s="189" t="n">
        <f aca="false">INDEX(Training!$C$110:$Q$110,3*(Unit_Cost!N$6-1)+3)</f>
        <v>0.268885180199482</v>
      </c>
      <c r="O74" s="189" t="n">
        <f aca="false">INDEX(Training!$C$110:$Q$110,3*(Unit_Cost!O$6-1)+3)</f>
        <v>0.268885180199482</v>
      </c>
      <c r="P74" s="189" t="n">
        <f aca="false">INDEX(Training!$C$110:$Q$110,3*(Unit_Cost!P$6-1)+3)</f>
        <v>0.268885180199482</v>
      </c>
      <c r="Q74" s="189" t="n">
        <f aca="false">INDEX(Training!$C$110:$Q$110,3*(Unit_Cost!Q$6-1)+3)</f>
        <v>0.268885180199482</v>
      </c>
      <c r="R74" s="17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2" t="str">
        <f aca="false">IF(R74="—","—",IF(R74="A","基準輸入",IF(R74="B","情境、相對比較、反轉門檻","探索")))</f>
        <v>情境、相對比較、反轉門檻</v>
      </c>
      <c r="T74" s="28" t="s">
        <v>620</v>
      </c>
      <c r="U74" s="42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53" t="s">
        <v>2465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2" t="s">
        <v>2485</v>
      </c>
      <c r="B75" s="28" t="s">
        <v>99</v>
      </c>
      <c r="C75" s="190" t="n">
        <f aca="false">INDEX(Training!$C$111:$Q$111,3*(Unit_Cost!C$6-1)+3)</f>
        <v>0.594349541651907</v>
      </c>
      <c r="D75" s="190" t="n">
        <f aca="false">INDEX(Training!$C$111:$Q$111,3*(Unit_Cost!D$6-1)+3)</f>
        <v>0.594349541651907</v>
      </c>
      <c r="E75" s="190" t="n">
        <f aca="false">INDEX(Training!$C$111:$Q$111,3*(Unit_Cost!E$6-1)+3)</f>
        <v>0.594349541651907</v>
      </c>
      <c r="F75" s="190" t="n">
        <f aca="false">INDEX(Training!$C$111:$Q$111,3*(Unit_Cost!F$6-1)+3)</f>
        <v>0.504541712883535</v>
      </c>
      <c r="G75" s="190" t="n">
        <f aca="false">INDEX(Training!$C$111:$Q$111,3*(Unit_Cost!G$6-1)+3)</f>
        <v>0.504541712883535</v>
      </c>
      <c r="H75" s="190" t="n">
        <f aca="false">INDEX(Training!$C$111:$Q$111,3*(Unit_Cost!H$6-1)+3)</f>
        <v>0.504541712883535</v>
      </c>
      <c r="I75" s="190" t="n">
        <f aca="false">INDEX(Training!$C$111:$Q$111,3*(Unit_Cost!I$6-1)+3)</f>
        <v>0.460983664042966</v>
      </c>
      <c r="J75" s="190" t="n">
        <f aca="false">INDEX(Training!$C$111:$Q$111,3*(Unit_Cost!J$6-1)+3)</f>
        <v>0.460983664042966</v>
      </c>
      <c r="K75" s="190" t="n">
        <f aca="false">INDEX(Training!$C$111:$Q$111,3*(Unit_Cost!K$6-1)+3)</f>
        <v>0.460983664042966</v>
      </c>
      <c r="L75" s="190" t="n">
        <f aca="false">INDEX(Training!$C$111:$Q$111,3*(Unit_Cost!L$6-1)+3)</f>
        <v>0.521148040333377</v>
      </c>
      <c r="M75" s="190" t="n">
        <f aca="false">INDEX(Training!$C$111:$Q$111,3*(Unit_Cost!M$6-1)+3)</f>
        <v>0.521148040333377</v>
      </c>
      <c r="N75" s="190" t="n">
        <f aca="false">INDEX(Training!$C$111:$Q$111,3*(Unit_Cost!N$6-1)+3)</f>
        <v>0.521148040333377</v>
      </c>
      <c r="O75" s="190" t="n">
        <f aca="false">INDEX(Training!$C$111:$Q$111,3*(Unit_Cost!O$6-1)+3)</f>
        <v>0.481150986813593</v>
      </c>
      <c r="P75" s="190" t="n">
        <f aca="false">INDEX(Training!$C$111:$Q$111,3*(Unit_Cost!P$6-1)+3)</f>
        <v>0.481150986813593</v>
      </c>
      <c r="Q75" s="190" t="n">
        <f aca="false">INDEX(Training!$C$111:$Q$111,3*(Unit_Cost!Q$6-1)+3)</f>
        <v>0.481150986813593</v>
      </c>
      <c r="R75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75" s="42" t="str">
        <f aca="false">IF(R75="—","—",IF(R75="A","基準輸入",IF(R75="B","情境、相對比較、反轉門檻","探索")))</f>
        <v>情境、相對比較、反轉門檻</v>
      </c>
      <c r="T75" s="28" t="s">
        <v>620</v>
      </c>
      <c r="U75" s="42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75" s="53" t="s">
        <v>2467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2486</v>
      </c>
      <c r="B76" s="28" t="s">
        <v>99</v>
      </c>
      <c r="C76" s="189" t="n">
        <f aca="false">INDEX(Training!$C$77:$Q$77,3*(Unit_Cost!C$6-1)+3)</f>
        <v>0.0561462257017422</v>
      </c>
      <c r="D76" s="189" t="n">
        <f aca="false">INDEX(Training!$C$77:$Q$77,3*(Unit_Cost!D$6-1)+3)</f>
        <v>0.0561462257017422</v>
      </c>
      <c r="E76" s="189" t="n">
        <f aca="false">INDEX(Training!$C$77:$Q$77,3*(Unit_Cost!E$6-1)+3)</f>
        <v>0.0561462257017422</v>
      </c>
      <c r="F76" s="189" t="n">
        <f aca="false">INDEX(Training!$C$77:$Q$77,3*(Unit_Cost!F$6-1)+3)</f>
        <v>0.0807474836755068</v>
      </c>
      <c r="G76" s="189" t="n">
        <f aca="false">INDEX(Training!$C$77:$Q$77,3*(Unit_Cost!G$6-1)+3)</f>
        <v>0.0807474836755068</v>
      </c>
      <c r="H76" s="189" t="n">
        <f aca="false">INDEX(Training!$C$77:$Q$77,3*(Unit_Cost!H$6-1)+3)</f>
        <v>0.0807474836755068</v>
      </c>
      <c r="I76" s="189" t="n">
        <f aca="false">INDEX(Training!$C$77:$Q$77,3*(Unit_Cost!I$6-1)+3)</f>
        <v>0.0961724702603611</v>
      </c>
      <c r="J76" s="189" t="n">
        <f aca="false">INDEX(Training!$C$77:$Q$77,3*(Unit_Cost!J$6-1)+3)</f>
        <v>0.0961724702603611</v>
      </c>
      <c r="K76" s="189" t="n">
        <f aca="false">INDEX(Training!$C$77:$Q$77,3*(Unit_Cost!K$6-1)+3)</f>
        <v>0.0961724702603611</v>
      </c>
      <c r="L76" s="189" t="n">
        <f aca="false">INDEX(Training!$C$77:$Q$77,3*(Unit_Cost!L$6-1)+3)</f>
        <v>0.0679835504547044</v>
      </c>
      <c r="M76" s="189" t="n">
        <f aca="false">INDEX(Training!$C$77:$Q$77,3*(Unit_Cost!M$6-1)+3)</f>
        <v>0.0679835504547044</v>
      </c>
      <c r="N76" s="189" t="n">
        <f aca="false">INDEX(Training!$C$77:$Q$77,3*(Unit_Cost!N$6-1)+3)</f>
        <v>0.0679835504547044</v>
      </c>
      <c r="O76" s="189" t="n">
        <f aca="false">INDEX(Training!$C$77:$Q$77,3*(Unit_Cost!O$6-1)+3)</f>
        <v>0.0798187502820238</v>
      </c>
      <c r="P76" s="189" t="n">
        <f aca="false">INDEX(Training!$C$77:$Q$77,3*(Unit_Cost!P$6-1)+3)</f>
        <v>0.0798187502820238</v>
      </c>
      <c r="Q76" s="189" t="n">
        <f aca="false">INDEX(Training!$C$77:$Q$77,3*(Unit_Cost!Q$6-1)+3)</f>
        <v>0.0798187502820238</v>
      </c>
      <c r="R76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76" s="42" t="str">
        <f aca="false">IF(R76="—","—",IF(R76="A","基準輸入",IF(R76="B","情境、相對比較、反轉門檻","探索")))</f>
        <v>情境、相對比較、反轉門檻</v>
      </c>
      <c r="T76" s="28" t="s">
        <v>620</v>
      </c>
      <c r="U76" s="42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76" s="53" t="s">
        <v>2469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2" t="s">
        <v>2487</v>
      </c>
      <c r="B77" s="28" t="s">
        <v>1023</v>
      </c>
      <c r="C77" s="184" t="n">
        <f aca="false">INDEX(Training!$C$120:$Q$120,3*(Unit_Cost!C$6-1)+3)</f>
        <v>986590568.929256</v>
      </c>
      <c r="D77" s="184" t="n">
        <f aca="false">INDEX(Training!$C$120:$Q$120,3*(Unit_Cost!D$6-1)+3)</f>
        <v>986590568.929256</v>
      </c>
      <c r="E77" s="184" t="n">
        <f aca="false">INDEX(Training!$C$120:$Q$120,3*(Unit_Cost!E$6-1)+3)</f>
        <v>986590568.929256</v>
      </c>
      <c r="F77" s="184" t="n">
        <f aca="false">INDEX(Training!$C$120:$Q$120,3*(Unit_Cost!F$6-1)+3)</f>
        <v>309431739.259797</v>
      </c>
      <c r="G77" s="184" t="n">
        <f aca="false">INDEX(Training!$C$120:$Q$120,3*(Unit_Cost!G$6-1)+3)</f>
        <v>309431739.259797</v>
      </c>
      <c r="H77" s="184" t="n">
        <f aca="false">INDEX(Training!$C$120:$Q$120,3*(Unit_Cost!H$6-1)+3)</f>
        <v>309431739.259797</v>
      </c>
      <c r="I77" s="184" t="n">
        <f aca="false">INDEX(Training!$C$120:$Q$120,3*(Unit_Cost!I$6-1)+3)</f>
        <v>279804081.046011</v>
      </c>
      <c r="J77" s="184" t="n">
        <f aca="false">INDEX(Training!$C$120:$Q$120,3*(Unit_Cost!J$6-1)+3)</f>
        <v>279804081.046011</v>
      </c>
      <c r="K77" s="184" t="n">
        <f aca="false">INDEX(Training!$C$120:$Q$120,3*(Unit_Cost!K$6-1)+3)</f>
        <v>279804081.046011</v>
      </c>
      <c r="L77" s="184" t="n">
        <f aca="false">INDEX(Training!$C$120:$Q$120,3*(Unit_Cost!L$6-1)+3)</f>
        <v>102272699.724672</v>
      </c>
      <c r="M77" s="184" t="n">
        <f aca="false">INDEX(Training!$C$120:$Q$120,3*(Unit_Cost!M$6-1)+3)</f>
        <v>102272699.724672</v>
      </c>
      <c r="N77" s="184" t="n">
        <f aca="false">INDEX(Training!$C$120:$Q$120,3*(Unit_Cost!N$6-1)+3)</f>
        <v>102272699.724672</v>
      </c>
      <c r="O77" s="184" t="n">
        <f aca="false">INDEX(Training!$C$120:$Q$120,3*(Unit_Cost!O$6-1)+3)</f>
        <v>46491866.832671</v>
      </c>
      <c r="P77" s="184" t="n">
        <f aca="false">INDEX(Training!$C$120:$Q$120,3*(Unit_Cost!P$6-1)+3)</f>
        <v>46491866.832671</v>
      </c>
      <c r="Q77" s="184" t="n">
        <f aca="false">INDEX(Training!$C$120:$Q$120,3*(Unit_Cost!Q$6-1)+3)</f>
        <v>46491866.832671</v>
      </c>
      <c r="R77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7" s="42" t="str">
        <f aca="false">IF(R77="—","—",IF(R77="A","基準輸入",IF(R77="B","情境、相對比較、反轉門檻","探索")))</f>
        <v>情境、相對比較、反轉門檻</v>
      </c>
      <c r="T77" s="28" t="s">
        <v>620</v>
      </c>
      <c r="U77" s="42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7" s="53" t="s">
        <v>2471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2" t="s">
        <v>2382</v>
      </c>
      <c r="B78" s="28" t="s">
        <v>877</v>
      </c>
      <c r="C78" s="184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84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84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84" t="n">
        <f aca="false">IF(ISNUMBER(INDEX(Training!$C$120:$Q$120,3*(Unit_Cost!F$6-1)+3)),INDEX(Training!$C$120:$Q$120,3*(Unit_Cost!F$6-1)+3)*Unit_Cost!F$8/1000000,INDEX(Training!$C$120:$Q$120,3*(Unit_Cost!F$6-1)+3))</f>
        <v>465.455930936714</v>
      </c>
      <c r="G78" s="184" t="n">
        <f aca="false">IF(ISNUMBER(INDEX(Training!$C$120:$Q$120,3*(Unit_Cost!G$6-1)+3)),INDEX(Training!$C$120:$Q$120,3*(Unit_Cost!G$6-1)+3)*Unit_Cost!G$8/1000000,INDEX(Training!$C$120:$Q$120,3*(Unit_Cost!G$6-1)+3))</f>
        <v>621.48157938889</v>
      </c>
      <c r="H78" s="184" t="n">
        <f aca="false">IF(ISNUMBER(INDEX(Training!$C$120:$Q$120,3*(Unit_Cost!H$6-1)+3)),INDEX(Training!$C$120:$Q$120,3*(Unit_Cost!H$6-1)+3)*Unit_Cost!H$8/1000000,INDEX(Training!$C$120:$Q$120,3*(Unit_Cost!H$6-1)+3))</f>
        <v>1007.99316158296</v>
      </c>
      <c r="I78" s="184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84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84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84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84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84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84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84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84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7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78" s="42" t="str">
        <f aca="false">IF(R78="—","—",IF(R78="A","基準輸入",IF(R78="B","情境、相對比較、反轉門檻","探索")))</f>
        <v>情境、相對比較、反轉門檻</v>
      </c>
      <c r="T78" s="28" t="s">
        <v>620</v>
      </c>
      <c r="U78" s="42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78" s="53" t="s">
        <v>2472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2" t="s">
        <v>2488</v>
      </c>
      <c r="B79" s="28" t="s">
        <v>99</v>
      </c>
      <c r="C79" s="191" t="n">
        <f aca="false">INDEX(Training!$C$123:$Q$123,3*(Unit_Cost!C$6-1)+3)</f>
        <v>0.156848141308111</v>
      </c>
      <c r="D79" s="191" t="n">
        <f aca="false">INDEX(Training!$C$123:$Q$123,3*(Unit_Cost!D$6-1)+3)</f>
        <v>0.156848141308111</v>
      </c>
      <c r="E79" s="191" t="n">
        <f aca="false">INDEX(Training!$C$123:$Q$123,3*(Unit_Cost!E$6-1)+3)</f>
        <v>0.156848141308111</v>
      </c>
      <c r="F79" s="191" t="n">
        <f aca="false">INDEX(Training!$C$123:$Q$123,3*(Unit_Cost!F$6-1)+3)</f>
        <v>0.0703975899347298</v>
      </c>
      <c r="G79" s="191" t="n">
        <f aca="false">INDEX(Training!$C$123:$Q$123,3*(Unit_Cost!G$6-1)+3)</f>
        <v>0.0703975899347298</v>
      </c>
      <c r="H79" s="191" t="n">
        <f aca="false">INDEX(Training!$C$123:$Q$123,3*(Unit_Cost!H$6-1)+3)</f>
        <v>0.0703975899347298</v>
      </c>
      <c r="I79" s="191" t="n">
        <f aca="false">INDEX(Training!$C$123:$Q$123,3*(Unit_Cost!I$6-1)+3)</f>
        <v>0.0655864074968763</v>
      </c>
      <c r="J79" s="191" t="n">
        <f aca="false">INDEX(Training!$C$123:$Q$123,3*(Unit_Cost!J$6-1)+3)</f>
        <v>0.0655864074968763</v>
      </c>
      <c r="K79" s="191" t="n">
        <f aca="false">INDEX(Training!$C$123:$Q$123,3*(Unit_Cost!K$6-1)+3)</f>
        <v>0.0655864074968763</v>
      </c>
      <c r="L79" s="191" t="n">
        <f aca="false">INDEX(Training!$C$123:$Q$123,3*(Unit_Cost!L$6-1)+3)</f>
        <v>0.0400178434586299</v>
      </c>
      <c r="M79" s="191" t="n">
        <f aca="false">INDEX(Training!$C$123:$Q$123,3*(Unit_Cost!M$6-1)+3)</f>
        <v>0.0400178434586299</v>
      </c>
      <c r="N79" s="191" t="n">
        <f aca="false">INDEX(Training!$C$123:$Q$123,3*(Unit_Cost!N$6-1)+3)</f>
        <v>0.0400178434586299</v>
      </c>
      <c r="O79" s="191" t="n">
        <f aca="false">INDEX(Training!$C$123:$Q$123,3*(Unit_Cost!O$6-1)+3)</f>
        <v>0.0272504145323638</v>
      </c>
      <c r="P79" s="191" t="n">
        <f aca="false">INDEX(Training!$C$123:$Q$123,3*(Unit_Cost!P$6-1)+3)</f>
        <v>0.0272504145323638</v>
      </c>
      <c r="Q79" s="191" t="n">
        <f aca="false">INDEX(Training!$C$123:$Q$123,3*(Unit_Cost!Q$6-1)+3)</f>
        <v>0.0272504145323638</v>
      </c>
      <c r="R79" s="17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9" s="42" t="str">
        <f aca="false">IF(R79="—","—",IF(R79="A","基準輸入",IF(R79="B","情境、相對比較、反轉門檻","探索")))</f>
        <v>情境、相對比較、反轉門檻</v>
      </c>
      <c r="T79" s="28" t="s">
        <v>620</v>
      </c>
      <c r="U79" s="42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9" s="53" t="s">
        <v>2474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2" t="s">
        <v>2489</v>
      </c>
      <c r="B80" s="28" t="s">
        <v>103</v>
      </c>
      <c r="C80" s="192" t="n">
        <f aca="false">Train_In!$C$13</f>
        <v>8</v>
      </c>
      <c r="R80" s="177" t="str">
        <f aca="false">IF(SUM(Gov_Map!$AG$530)&gt;0,"C",IF(SUM(Gov_Map!$AH$530)&gt;0,"B","A"))</f>
        <v>B</v>
      </c>
      <c r="S80" s="42" t="str">
        <f aca="false">IF(R80="—","—",IF(R80="A","基準輸入",IF(R80="B","情境、相對比較、反轉門檻","探索")))</f>
        <v>情境、相對比較、反轉門檻</v>
      </c>
      <c r="T80" s="28" t="s">
        <v>620</v>
      </c>
      <c r="U80" s="42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3" t="s">
        <v>2490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2" t="s">
        <v>2491</v>
      </c>
      <c r="B81" s="42" t="s">
        <v>945</v>
      </c>
      <c r="C81" s="31" t="n">
        <f aca="false">Train_In!$C$16</f>
        <v>4</v>
      </c>
      <c r="D81" s="193" t="str">
        <f aca="false">INDEX(Spec_Rack!$C$4:$G$4,C81)</f>
        <v>VR200 NVL72</v>
      </c>
      <c r="R81" s="177" t="str">
        <f aca="false">IF(SUM(Gov_Map!$AG$532)&gt;0,"C",IF(SUM(Gov_Map!$AH$532)&gt;0,"B","A"))</f>
        <v>A</v>
      </c>
      <c r="S81" s="42" t="str">
        <f aca="false">IF(R81="—","—",IF(R81="A","基準輸入",IF(R81="B","情境、相對比較、反轉門檻","探索")))</f>
        <v>基準輸入</v>
      </c>
      <c r="T81" s="28" t="s">
        <v>620</v>
      </c>
      <c r="U81" s="42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3" t="s">
        <v>2492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2" t="s">
        <v>2493</v>
      </c>
      <c r="B82" s="42" t="s">
        <v>945</v>
      </c>
      <c r="C82" s="31" t="n">
        <f aca="false">Train_In!$C$17</f>
        <v>3</v>
      </c>
      <c r="D82" s="193" t="str">
        <f aca="false">INDEX(Spec_Rack!$C$4:$G$4,C82)</f>
        <v>GB300 NVL72</v>
      </c>
      <c r="R82" s="177" t="str">
        <f aca="false">IF(SUM(Gov_Map!$AG$533)&gt;0,"C",IF(SUM(Gov_Map!$AH$533)&gt;0,"B","A"))</f>
        <v>A</v>
      </c>
      <c r="S82" s="42" t="str">
        <f aca="false">IF(R82="—","—",IF(R82="A","基準輸入",IF(R82="B","情境、相對比較、反轉門檻","探索")))</f>
        <v>基準輸入</v>
      </c>
      <c r="T82" s="28" t="s">
        <v>620</v>
      </c>
      <c r="U82" s="42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3" t="s">
        <v>2492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1" t="s">
        <v>2494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262</v>
      </c>
    </row>
    <row r="86" customFormat="false" ht="15" hidden="false" customHeight="true" outlineLevel="0" collapsed="false">
      <c r="A86" s="42" t="s">
        <v>2495</v>
      </c>
      <c r="B86" s="28" t="s">
        <v>807</v>
      </c>
      <c r="C86" s="44" t="n">
        <f aca="false">Price_Frontier!C41</f>
        <v>0.08</v>
      </c>
      <c r="R86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2" t="str">
        <f aca="false">IF(R86="—","—",IF(R86="A","基準輸入",IF(R86="B","情境、相對比較、反轉門檻","探索")))</f>
        <v>基準輸入</v>
      </c>
      <c r="T86" s="28" t="s">
        <v>620</v>
      </c>
      <c r="U86" s="42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3" t="s">
        <v>2496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2" t="s">
        <v>2497</v>
      </c>
      <c r="B87" s="28" t="s">
        <v>807</v>
      </c>
      <c r="C87" s="44" t="n">
        <f aca="false">Price_Frontier!C42</f>
        <v>0.008</v>
      </c>
      <c r="R87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2" t="str">
        <f aca="false">IF(R87="—","—",IF(R87="A","基準輸入",IF(R87="B","情境、相對比較、反轉門檻","探索")))</f>
        <v>基準輸入</v>
      </c>
      <c r="T87" s="28" t="s">
        <v>620</v>
      </c>
      <c r="U87" s="42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3" t="s">
        <v>2496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2" t="s">
        <v>2498</v>
      </c>
      <c r="B88" s="28" t="s">
        <v>807</v>
      </c>
      <c r="C88" s="44" t="n">
        <f aca="false">Price_Frontier!C43</f>
        <v>0.4</v>
      </c>
      <c r="R88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2" t="str">
        <f aca="false">IF(R88="—","—",IF(R88="A","基準輸入",IF(R88="B","情境、相對比較、反轉門檻","探索")))</f>
        <v>基準輸入</v>
      </c>
      <c r="T88" s="28" t="s">
        <v>620</v>
      </c>
      <c r="U88" s="42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3" t="s">
        <v>2496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2" t="s">
        <v>2499</v>
      </c>
      <c r="B89" s="28" t="s">
        <v>807</v>
      </c>
      <c r="C89" s="44" t="n">
        <f aca="false">Price_Frontier!C44</f>
        <v>0.4</v>
      </c>
      <c r="R89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2" t="str">
        <f aca="false">IF(R89="—","—",IF(R89="A","基準輸入",IF(R89="B","情境、相對比較、反轉門檻","探索")))</f>
        <v>基準輸入</v>
      </c>
      <c r="T89" s="28" t="s">
        <v>620</v>
      </c>
      <c r="U89" s="42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3" t="s">
        <v>2496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2" t="s">
        <v>2500</v>
      </c>
      <c r="B90" s="28" t="s">
        <v>807</v>
      </c>
      <c r="C90" s="54" t="n">
        <f aca="false">Price_Frontier!C45</f>
        <v>0.0803555555555556</v>
      </c>
      <c r="R90" s="17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2" t="str">
        <f aca="false">IF(R90="—","—",IF(R90="A","基準輸入",IF(R90="B","情境、相對比較、反轉門檻","探索")))</f>
        <v>情境、相對比較、反轉門檻</v>
      </c>
      <c r="T90" s="28" t="s">
        <v>620</v>
      </c>
      <c r="U90" s="42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3" t="s">
        <v>2501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2" t="s">
        <v>2502</v>
      </c>
      <c r="B91" s="28" t="s">
        <v>807</v>
      </c>
      <c r="C91" s="44" t="n">
        <f aca="false">Price_Frontier!C46</f>
        <v>0.0803555555555556</v>
      </c>
      <c r="R91" s="17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2" t="str">
        <f aca="false">IF(R91="—","—",IF(R91="A","基準輸入",IF(R91="B","情境、相對比較、反轉門檻","探索")))</f>
        <v>情境、相對比較、反轉門檻</v>
      </c>
      <c r="T91" s="28" t="s">
        <v>620</v>
      </c>
      <c r="U91" s="42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3" t="s">
        <v>2503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2" t="s">
        <v>2504</v>
      </c>
      <c r="C92" s="177" t="str">
        <f aca="false">Price_Frontier!C26</f>
        <v>GPT-6 Luna</v>
      </c>
      <c r="R92" s="17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2" t="str">
        <f aca="false">IF(R92="—","—",IF(R92="A","基準輸入",IF(R92="B","情境、相對比較、反轉門檻","探索")))</f>
        <v>情境、相對比較、反轉門檻</v>
      </c>
      <c r="T92" s="28" t="s">
        <v>620</v>
      </c>
      <c r="U92" s="42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3" t="s">
        <v>2505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2" t="s">
        <v>2506</v>
      </c>
      <c r="B93" s="42" t="s">
        <v>1169</v>
      </c>
      <c r="C93" s="30" t="n">
        <f aca="false">INDEX(B4_Life,1,1)</f>
        <v>12</v>
      </c>
      <c r="R93" s="177" t="str">
        <f aca="false">IF(SUM(Gov_Map!$AG$454)&gt;0,"C",IF(SUM(Gov_Map!$AH$454)&gt;0,"B","A"))</f>
        <v>A</v>
      </c>
      <c r="S93" s="42" t="str">
        <f aca="false">IF(R93="—","—",IF(R93="A","基準輸入",IF(R93="B","情境、相對比較、反轉門檻","探索")))</f>
        <v>基準輸入</v>
      </c>
      <c r="T93" s="28" t="s">
        <v>620</v>
      </c>
      <c r="U93" s="42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3" t="s">
        <v>2492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2" t="s">
        <v>2507</v>
      </c>
      <c r="B94" s="28" t="s">
        <v>807</v>
      </c>
      <c r="C94" s="194" t="n">
        <f aca="false">Cache_Store!C17</f>
        <v>1.32943302891933E-005</v>
      </c>
      <c r="D94" s="194" t="n">
        <f aca="false">Cache_Store!D17</f>
        <v>1.32943302891933E-005</v>
      </c>
      <c r="E94" s="194" t="n">
        <f aca="false">Cache_Store!E17</f>
        <v>1.32943302891933E-005</v>
      </c>
      <c r="F94" s="194" t="n">
        <f aca="false">Cache_Store!F17</f>
        <v>1.32943302891933E-005</v>
      </c>
      <c r="G94" s="194" t="n">
        <f aca="false">Cache_Store!G17</f>
        <v>1.32943302891933E-005</v>
      </c>
      <c r="H94" s="194" t="n">
        <f aca="false">Cache_Store!H17</f>
        <v>1.32943302891933E-005</v>
      </c>
      <c r="I94" s="194" t="n">
        <f aca="false">Cache_Store!I17</f>
        <v>1.32943302891933E-005</v>
      </c>
      <c r="J94" s="194" t="n">
        <f aca="false">Cache_Store!J17</f>
        <v>1.32943302891933E-005</v>
      </c>
      <c r="K94" s="194" t="n">
        <f aca="false">Cache_Store!K17</f>
        <v>1.32943302891933E-005</v>
      </c>
      <c r="L94" s="194" t="n">
        <f aca="false">Cache_Store!L17</f>
        <v>1.32943302891933E-005</v>
      </c>
      <c r="M94" s="194" t="n">
        <f aca="false">Cache_Store!M17</f>
        <v>1.32943302891933E-005</v>
      </c>
      <c r="N94" s="194" t="n">
        <f aca="false">Cache_Store!N17</f>
        <v>1.32943302891933E-005</v>
      </c>
      <c r="O94" s="194" t="n">
        <f aca="false">Cache_Store!O17</f>
        <v>1.32943302891933E-005</v>
      </c>
      <c r="P94" s="194" t="n">
        <f aca="false">Cache_Store!P17</f>
        <v>1.32943302891933E-005</v>
      </c>
      <c r="Q94" s="194" t="n">
        <f aca="false">Cache_Store!Q17</f>
        <v>1.32943302891933E-005</v>
      </c>
      <c r="R94" s="177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2" t="str">
        <f aca="false">IF(R94="—","—",IF(R94="A","基準輸入",IF(R94="B","情境、相對比較、反轉門檻","探索")))</f>
        <v>情境、相對比較、反轉門檻</v>
      </c>
      <c r="T94" s="28" t="s">
        <v>620</v>
      </c>
      <c r="U94" s="42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3" t="s">
        <v>2508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2" t="s">
        <v>2509</v>
      </c>
      <c r="B95" s="28" t="s">
        <v>807</v>
      </c>
      <c r="C95" s="194" t="n">
        <f aca="false">Amortize!C13</f>
        <v>0.0360837418666932</v>
      </c>
      <c r="D95" s="194" t="n">
        <f aca="false">Amortize!D13</f>
        <v>0.05155644943085</v>
      </c>
      <c r="E95" s="194" t="n">
        <f aca="false">Amortize!E13</f>
        <v>0.0885413864958624</v>
      </c>
      <c r="F95" s="194" t="n">
        <f aca="false">Amortize!F13</f>
        <v>0.00608081231226111</v>
      </c>
      <c r="G95" s="194" t="n">
        <f aca="false">Amortize!G13</f>
        <v>0.00811916357405977</v>
      </c>
      <c r="H95" s="194" t="n">
        <f aca="false">Amortize!H13</f>
        <v>0.0131686306269498</v>
      </c>
      <c r="I95" s="194" t="n">
        <f aca="false">Amortize!I13</f>
        <v>0.00523654199470806</v>
      </c>
      <c r="J95" s="194" t="n">
        <f aca="false">Amortize!J13</f>
        <v>0.00676329702928261</v>
      </c>
      <c r="K95" s="194" t="n">
        <f aca="false">Amortize!K13</f>
        <v>0.0115148429406192</v>
      </c>
      <c r="L95" s="194" t="n">
        <f aca="false">Amortize!L13</f>
        <v>0.00210940192005383</v>
      </c>
      <c r="M95" s="194" t="n">
        <f aca="false">Amortize!M13</f>
        <v>0.00271112526016618</v>
      </c>
      <c r="N95" s="194" t="n">
        <f aca="false">Amortize!N13</f>
        <v>0.00437990681219042</v>
      </c>
      <c r="O95" s="194" t="n">
        <f aca="false">Amortize!O13</f>
        <v>0.00102767416465181</v>
      </c>
      <c r="P95" s="194" t="n">
        <f aca="false">Amortize!P13</f>
        <v>0.00156192381970931</v>
      </c>
      <c r="Q95" s="194" t="n">
        <f aca="false">Amortize!Q13</f>
        <v>0.00285135671460905</v>
      </c>
      <c r="R95" s="17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5" s="42" t="str">
        <f aca="false">IF(R95="—","—",IF(R95="A","基準輸入",IF(R95="B","情境、相對比較、反轉門檻","探索")))</f>
        <v>情境、相對比較、反轉門檻</v>
      </c>
      <c r="T95" s="28" t="s">
        <v>620</v>
      </c>
      <c r="U95" s="42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95" s="53" t="s">
        <v>2510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2" t="s">
        <v>2511</v>
      </c>
      <c r="B96" s="28" t="s">
        <v>807</v>
      </c>
      <c r="C96" s="186" t="n">
        <f aca="false">Amortize!C15</f>
        <v>0.208946338386237</v>
      </c>
      <c r="D96" s="186" t="n">
        <f aca="false">Amortize!D15</f>
        <v>0.298535838612843</v>
      </c>
      <c r="E96" s="186" t="n">
        <f aca="false">Amortize!E15</f>
        <v>0.512684656059812</v>
      </c>
      <c r="F96" s="186" t="n">
        <f aca="false">Amortize!F15</f>
        <v>0.0375494516895087</v>
      </c>
      <c r="G96" s="186" t="n">
        <f aca="false">Amortize!G15</f>
        <v>0.0501311914724947</v>
      </c>
      <c r="H96" s="186" t="n">
        <f aca="false">Amortize!H15</f>
        <v>0.0812990680268838</v>
      </c>
      <c r="I96" s="186" t="n">
        <f aca="false">Amortize!I15</f>
        <v>0.0328877428291374</v>
      </c>
      <c r="J96" s="186" t="n">
        <f aca="false">Amortize!J15</f>
        <v>0.042471878268405</v>
      </c>
      <c r="K96" s="186" t="n">
        <f aca="false">Amortize!K15</f>
        <v>0.0722994920825873</v>
      </c>
      <c r="L96" s="186" t="n">
        <f aca="false">Amortize!L15</f>
        <v>0.0251536892040573</v>
      </c>
      <c r="M96" s="186" t="n">
        <f aca="false">Amortize!M15</f>
        <v>0.0323245284874553</v>
      </c>
      <c r="N96" s="186" t="n">
        <f aca="false">Amortize!N15</f>
        <v>0.0522116817868949</v>
      </c>
      <c r="O96" s="186" t="n">
        <f aca="false">Amortize!O15</f>
        <v>0.0197559108737738</v>
      </c>
      <c r="P96" s="186" t="n">
        <f aca="false">Amortize!P15</f>
        <v>0.030018171995636</v>
      </c>
      <c r="Q96" s="186" t="n">
        <f aca="false">Amortize!Q15</f>
        <v>0.0547865493662411</v>
      </c>
      <c r="R96" s="17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96" s="42" t="str">
        <f aca="false">IF(R96="—","—",IF(R96="A","基準輸入",IF(R96="B","情境、相對比較、反轉門檻","探索")))</f>
        <v>情境、相對比較、反轉門檻</v>
      </c>
      <c r="T96" s="28" t="s">
        <v>620</v>
      </c>
      <c r="U96" s="42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96" s="53" t="s">
        <v>2512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2" t="s">
        <v>2513</v>
      </c>
      <c r="B97" s="28" t="s">
        <v>807</v>
      </c>
      <c r="C97" s="186" t="n">
        <f aca="false">Theory_Rev!C18</f>
        <v>0.181283739728315</v>
      </c>
      <c r="D97" s="186" t="n">
        <f aca="false">Theory_Rev!D18</f>
        <v>0.259013557619436</v>
      </c>
      <c r="E97" s="186" t="n">
        <f aca="false">Theory_Rev!E18</f>
        <v>0.444813774605223</v>
      </c>
      <c r="F97" s="186" t="n">
        <f aca="false">Theory_Rev!F18</f>
        <v>0.0321744990795468</v>
      </c>
      <c r="G97" s="186" t="n">
        <f aca="false">Theory_Rev!G18</f>
        <v>0.0429560932413866</v>
      </c>
      <c r="H97" s="186" t="n">
        <f aca="false">Theory_Rev!H18</f>
        <v>0.0696645931541063</v>
      </c>
      <c r="I97" s="186" t="n">
        <f aca="false">Theory_Rev!I18</f>
        <v>0.0280907361641086</v>
      </c>
      <c r="J97" s="186" t="n">
        <f aca="false">Theory_Rev!J18</f>
        <v>0.0362776531141064</v>
      </c>
      <c r="K97" s="186" t="n">
        <f aca="false">Theory_Rev!K18</f>
        <v>0.0617568628624171</v>
      </c>
      <c r="L97" s="186" t="n">
        <f aca="false">Theory_Rev!L18</f>
        <v>0.019589084248297</v>
      </c>
      <c r="M97" s="186" t="n">
        <f aca="false">Theory_Rev!M18</f>
        <v>0.0251739331921266</v>
      </c>
      <c r="N97" s="186" t="n">
        <f aca="false">Theory_Rev!N18</f>
        <v>0.0406626009352869</v>
      </c>
      <c r="O97" s="186" t="n">
        <f aca="false">Theory_Rev!O18</f>
        <v>0.0147563579921895</v>
      </c>
      <c r="P97" s="186" t="n">
        <f aca="false">Theory_Rev!P18</f>
        <v>0.0224220094437953</v>
      </c>
      <c r="Q97" s="186" t="n">
        <f aca="false">Theory_Rev!Q18</f>
        <v>0.0409233655962342</v>
      </c>
      <c r="R97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7" s="42" t="str">
        <f aca="false">IF(R97="—","—",IF(R97="A","基準輸入",IF(R97="B","情境、相對比較、反轉門檻","探索")))</f>
        <v>情境、相對比較、反轉門檻</v>
      </c>
      <c r="T97" s="28" t="s">
        <v>2455</v>
      </c>
      <c r="U97" s="42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7" s="53" t="s">
        <v>2514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2" t="s">
        <v>2515</v>
      </c>
      <c r="B98" s="28" t="s">
        <v>807</v>
      </c>
      <c r="C98" s="195" t="n">
        <f aca="false">Amortize!C43</f>
        <v>0.49892092577848</v>
      </c>
      <c r="D98" s="195" t="n">
        <f aca="false">Amortize!D43</f>
        <v>0.712847459452246</v>
      </c>
      <c r="E98" s="195" t="n">
        <f aca="false">Amortize!E43</f>
        <v>1.22420330015779</v>
      </c>
      <c r="F98" s="195" t="n">
        <f aca="false">Amortize!F43</f>
        <v>0.0288129876646739</v>
      </c>
      <c r="G98" s="195" t="n">
        <f aca="false">Amortize!G43</f>
        <v>0.0384680122773135</v>
      </c>
      <c r="H98" s="195" t="n">
        <f aca="false">Amortize!H43</f>
        <v>0.0623857391137304</v>
      </c>
      <c r="I98" s="195" t="n">
        <f aca="false">Amortize!I43</f>
        <v>0.0269396532202824</v>
      </c>
      <c r="J98" s="195" t="n">
        <f aca="false">Amortize!J43</f>
        <v>0.0347911816967125</v>
      </c>
      <c r="K98" s="195" t="n">
        <f aca="false">Amortize!K43</f>
        <v>0.0592266000743046</v>
      </c>
      <c r="L98" s="195" t="n">
        <f aca="false">Amortize!L43</f>
        <v>0.0172553760286319</v>
      </c>
      <c r="M98" s="195" t="n">
        <f aca="false">Amortize!M43</f>
        <v>0.0221747913358084</v>
      </c>
      <c r="N98" s="195" t="n">
        <f aca="false">Amortize!N43</f>
        <v>0.0358179874096534</v>
      </c>
      <c r="O98" s="195" t="n">
        <f aca="false">Amortize!O43</f>
        <v>0.0123245031760871</v>
      </c>
      <c r="P98" s="195" t="n">
        <f aca="false">Amortize!P43</f>
        <v>0.0187267334289093</v>
      </c>
      <c r="Q98" s="195" t="n">
        <f aca="false">Amortize!Q43</f>
        <v>0.0341787720227811</v>
      </c>
      <c r="R98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8" s="42" t="str">
        <f aca="false">IF(R98="—","—",IF(R98="A","基準輸入",IF(R98="B","情境、相對比較、反轉門檻","探索")))</f>
        <v>情境、相對比較、反轉門檻</v>
      </c>
      <c r="T98" s="28" t="s">
        <v>620</v>
      </c>
      <c r="U98" s="42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8" s="53" t="s">
        <v>2514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2" t="s">
        <v>2516</v>
      </c>
      <c r="B99" s="28" t="s">
        <v>807</v>
      </c>
      <c r="C99" s="194" t="n">
        <f aca="false">Amortize!C44</f>
        <v>0.020031479971004</v>
      </c>
      <c r="D99" s="194" t="n">
        <f aca="false">Amortize!D44</f>
        <v>0.0286205466008832</v>
      </c>
      <c r="E99" s="194" t="n">
        <f aca="false">Amortize!E44</f>
        <v>0.0491512835411435</v>
      </c>
      <c r="F99" s="194" t="n">
        <f aca="false">Amortize!F44</f>
        <v>0.00165965019412098</v>
      </c>
      <c r="G99" s="194" t="n">
        <f aca="false">Amortize!G44</f>
        <v>0.00221578701891322</v>
      </c>
      <c r="H99" s="194" t="n">
        <f aca="false">Amortize!H44</f>
        <v>0.00359346643379944</v>
      </c>
      <c r="I99" s="194" t="n">
        <f aca="false">Amortize!I44</f>
        <v>0.00148333975179878</v>
      </c>
      <c r="J99" s="194" t="n">
        <f aca="false">Amortize!J44</f>
        <v>0.00191565728039637</v>
      </c>
      <c r="K99" s="194" t="n">
        <f aca="false">Amortize!K44</f>
        <v>0.00326110991614254</v>
      </c>
      <c r="L99" s="194" t="n">
        <f aca="false">Amortize!L44</f>
        <v>0.00106624342241572</v>
      </c>
      <c r="M99" s="194" t="n">
        <f aca="false">Amortize!M44</f>
        <v>0.00137022371265712</v>
      </c>
      <c r="N99" s="194" t="n">
        <f aca="false">Amortize!N44</f>
        <v>0.00221326347315422</v>
      </c>
      <c r="O99" s="194" t="n">
        <f aca="false">Amortize!O44</f>
        <v>0.000825482567485671</v>
      </c>
      <c r="P99" s="194" t="n">
        <f aca="false">Amortize!P44</f>
        <v>0.00125429737577655</v>
      </c>
      <c r="Q99" s="194" t="n">
        <f aca="false">Amortize!Q44</f>
        <v>0.00228925905407819</v>
      </c>
      <c r="R99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9" s="42" t="str">
        <f aca="false">IF(R99="—","—",IF(R99="A","基準輸入",IF(R99="B","情境、相對比較、反轉門檻","探索")))</f>
        <v>情境、相對比較、反轉門檻</v>
      </c>
      <c r="T99" s="28" t="s">
        <v>620</v>
      </c>
      <c r="U99" s="42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9" s="53" t="s">
        <v>2517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2" t="s">
        <v>2518</v>
      </c>
      <c r="B100" s="28" t="s">
        <v>807</v>
      </c>
      <c r="C100" s="196" t="n">
        <f aca="false">Theory_Rev!C20</f>
        <v>0.644120923640102</v>
      </c>
      <c r="D100" s="196" t="n">
        <f aca="false">Theory_Rev!D20</f>
        <v>0.920304567640832</v>
      </c>
      <c r="E100" s="196" t="n">
        <f aca="false">Theory_Rev!E20</f>
        <v>1.58047568826716</v>
      </c>
      <c r="F100" s="196" t="n">
        <f aca="false">Theory_Rev!F20</f>
        <v>0.0549066744319596</v>
      </c>
      <c r="G100" s="196" t="n">
        <f aca="false">Theory_Rev!G20</f>
        <v>0.0733049419446403</v>
      </c>
      <c r="H100" s="196" t="n">
        <f aca="false">Theory_Rev!H20</f>
        <v>0.118881701640887</v>
      </c>
      <c r="I100" s="196" t="n">
        <f aca="false">Theory_Rev!I20</f>
        <v>0.049793847389683</v>
      </c>
      <c r="J100" s="196" t="n">
        <f aca="false">Theory_Rev!J20</f>
        <v>0.0643055377815363</v>
      </c>
      <c r="K100" s="196" t="n">
        <f aca="false">Theory_Rev!K20</f>
        <v>0.109468619996102</v>
      </c>
      <c r="L100" s="196" t="n">
        <f aca="false">Theory_Rev!L20</f>
        <v>0.0347350583568751</v>
      </c>
      <c r="M100" s="196" t="n">
        <f aca="false">Theory_Rev!M20</f>
        <v>0.0446375992677688</v>
      </c>
      <c r="N100" s="196" t="n">
        <f aca="false">Theory_Rev!N20</f>
        <v>0.0721006815327499</v>
      </c>
      <c r="O100" s="196" t="n">
        <f aca="false">Theory_Rev!O20</f>
        <v>0.0260531870036248</v>
      </c>
      <c r="P100" s="196" t="n">
        <f aca="false">Theory_Rev!P20</f>
        <v>0.0395868190529953</v>
      </c>
      <c r="Q100" s="196" t="n">
        <f aca="false">Theory_Rev!Q20</f>
        <v>0.0722507809044062</v>
      </c>
      <c r="R100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00" s="42" t="str">
        <f aca="false">IF(R100="—","—",IF(R100="A","基準輸入",IF(R100="B","情境、相對比較、反轉門檻","探索")))</f>
        <v>情境、相對比較、反轉門檻</v>
      </c>
      <c r="T100" s="28" t="s">
        <v>2455</v>
      </c>
      <c r="U100" s="42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00" s="53" t="s">
        <v>2514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2" t="s">
        <v>2519</v>
      </c>
      <c r="B101" s="28" t="s">
        <v>1814</v>
      </c>
      <c r="C101" s="197" t="n">
        <f aca="false">Theory_Rev!C11</f>
        <v>3.08840435920531</v>
      </c>
      <c r="D101" s="197" t="n">
        <f aca="false">Theory_Rev!D11</f>
        <v>3.08840435920531</v>
      </c>
      <c r="E101" s="197" t="n">
        <f aca="false">Theory_Rev!E11</f>
        <v>3.08840435920531</v>
      </c>
      <c r="F101" s="197" t="n">
        <f aca="false">Theory_Rev!F11</f>
        <v>17.4680230535144</v>
      </c>
      <c r="G101" s="197" t="n">
        <f aca="false">Theory_Rev!G11</f>
        <v>17.4680230535144</v>
      </c>
      <c r="H101" s="197" t="n">
        <f aca="false">Theory_Rev!H11</f>
        <v>17.4680230535144</v>
      </c>
      <c r="I101" s="197" t="n">
        <f aca="false">Theory_Rev!I11</f>
        <v>25.4312759220773</v>
      </c>
      <c r="J101" s="197" t="n">
        <f aca="false">Theory_Rev!J11</f>
        <v>25.4312759220773</v>
      </c>
      <c r="K101" s="197" t="n">
        <f aca="false">Theory_Rev!K11</f>
        <v>25.4312759220773</v>
      </c>
      <c r="L101" s="197" t="n">
        <f aca="false">Theory_Rev!L11</f>
        <v>37.2582226398973</v>
      </c>
      <c r="M101" s="197" t="n">
        <f aca="false">Theory_Rev!M11</f>
        <v>37.2582226398973</v>
      </c>
      <c r="N101" s="197" t="n">
        <f aca="false">Theory_Rev!N11</f>
        <v>37.2582226398973</v>
      </c>
      <c r="O101" s="197" t="n">
        <f aca="false">Theory_Rev!O11</f>
        <v>50.3527379522069</v>
      </c>
      <c r="P101" s="197" t="n">
        <f aca="false">Theory_Rev!P11</f>
        <v>50.3527379522069</v>
      </c>
      <c r="Q101" s="197" t="n">
        <f aca="false">Theory_Rev!Q11</f>
        <v>50.3527379522069</v>
      </c>
      <c r="R101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2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2455</v>
      </c>
      <c r="U101" s="42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53" t="s">
        <v>2520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2" t="s">
        <v>2521</v>
      </c>
      <c r="B102" s="28" t="s">
        <v>1814</v>
      </c>
      <c r="C102" s="188" t="n">
        <f aca="false">Theory_Rev!C12</f>
        <v>3.08840435920531</v>
      </c>
      <c r="D102" s="188" t="n">
        <f aca="false">Theory_Rev!D12</f>
        <v>3.08840435920531</v>
      </c>
      <c r="E102" s="188" t="n">
        <f aca="false">Theory_Rev!E12</f>
        <v>3.08840435920531</v>
      </c>
      <c r="F102" s="188" t="n">
        <f aca="false">Theory_Rev!F12</f>
        <v>17.4680230535144</v>
      </c>
      <c r="G102" s="188" t="n">
        <f aca="false">Theory_Rev!G12</f>
        <v>17.4680230535144</v>
      </c>
      <c r="H102" s="188" t="n">
        <f aca="false">Theory_Rev!H12</f>
        <v>17.4680230535144</v>
      </c>
      <c r="I102" s="188" t="n">
        <f aca="false">Theory_Rev!I12</f>
        <v>25.4312759220773</v>
      </c>
      <c r="J102" s="188" t="n">
        <f aca="false">Theory_Rev!J12</f>
        <v>25.4312759220773</v>
      </c>
      <c r="K102" s="188" t="n">
        <f aca="false">Theory_Rev!K12</f>
        <v>25.4312759220773</v>
      </c>
      <c r="L102" s="188" t="n">
        <f aca="false">Theory_Rev!L12</f>
        <v>37.2582226398973</v>
      </c>
      <c r="M102" s="188" t="n">
        <f aca="false">Theory_Rev!M12</f>
        <v>37.2582226398973</v>
      </c>
      <c r="N102" s="188" t="n">
        <f aca="false">Theory_Rev!N12</f>
        <v>37.2582226398973</v>
      </c>
      <c r="O102" s="188" t="n">
        <f aca="false">Theory_Rev!O12</f>
        <v>50.3527379522069</v>
      </c>
      <c r="P102" s="188" t="n">
        <f aca="false">Theory_Rev!P12</f>
        <v>50.3527379522069</v>
      </c>
      <c r="Q102" s="188" t="n">
        <f aca="false">Theory_Rev!Q12</f>
        <v>50.3527379522069</v>
      </c>
      <c r="R102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2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2455</v>
      </c>
      <c r="U102" s="42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53" t="s">
        <v>2522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263</v>
      </c>
      <c r="B103" s="198"/>
      <c r="C103" s="44"/>
    </row>
    <row r="104" customFormat="false" ht="15" hidden="false" customHeight="true" outlineLevel="0" collapsed="false">
      <c r="A104" s="42" t="s">
        <v>2523</v>
      </c>
      <c r="B104" s="28" t="s">
        <v>807</v>
      </c>
      <c r="C104" s="44" t="n">
        <f aca="false">Price_Frontier!D41</f>
        <v>1.6</v>
      </c>
      <c r="R104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2" t="str">
        <f aca="false">IF(R104="—","—",IF(R104="A","基準輸入",IF(R104="B","情境、相對比較、反轉門檻","探索")))</f>
        <v>基準輸入</v>
      </c>
      <c r="T104" s="28" t="s">
        <v>620</v>
      </c>
      <c r="U104" s="42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3" t="s">
        <v>2496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2" t="s">
        <v>2524</v>
      </c>
      <c r="B105" s="28" t="s">
        <v>807</v>
      </c>
      <c r="C105" s="44" t="n">
        <f aca="false">Price_Frontier!D42</f>
        <v>0.16</v>
      </c>
      <c r="R105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2" t="str">
        <f aca="false">IF(R105="—","—",IF(R105="A","基準輸入",IF(R105="B","情境、相對比較、反轉門檻","探索")))</f>
        <v>基準輸入</v>
      </c>
      <c r="T105" s="28" t="s">
        <v>620</v>
      </c>
      <c r="U105" s="42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3" t="s">
        <v>2496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2" t="s">
        <v>2525</v>
      </c>
      <c r="B106" s="28" t="s">
        <v>807</v>
      </c>
      <c r="C106" s="44" t="n">
        <f aca="false">Price_Frontier!D43</f>
        <v>8</v>
      </c>
      <c r="R106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2" t="str">
        <f aca="false">IF(R106="—","—",IF(R106="A","基準輸入",IF(R106="B","情境、相對比較、反轉門檻","探索")))</f>
        <v>基準輸入</v>
      </c>
      <c r="T106" s="28" t="s">
        <v>620</v>
      </c>
      <c r="U106" s="42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3" t="s">
        <v>2496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2" t="s">
        <v>2526</v>
      </c>
      <c r="B107" s="28" t="s">
        <v>807</v>
      </c>
      <c r="C107" s="44" t="n">
        <f aca="false">Price_Frontier!D44</f>
        <v>8</v>
      </c>
      <c r="R107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2" t="str">
        <f aca="false">IF(R107="—","—",IF(R107="A","基準輸入",IF(R107="B","情境、相對比較、反轉門檻","探索")))</f>
        <v>基準輸入</v>
      </c>
      <c r="T107" s="28" t="s">
        <v>620</v>
      </c>
      <c r="U107" s="42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3" t="s">
        <v>2496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2" t="s">
        <v>2527</v>
      </c>
      <c r="B108" s="28" t="s">
        <v>807</v>
      </c>
      <c r="C108" s="54" t="n">
        <f aca="false">Price_Frontier!D45</f>
        <v>1.60711111111111</v>
      </c>
      <c r="R108" s="17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2" t="str">
        <f aca="false">IF(R108="—","—",IF(R108="A","基準輸入",IF(R108="B","情境、相對比較、反轉門檻","探索")))</f>
        <v>情境、相對比較、反轉門檻</v>
      </c>
      <c r="T108" s="28" t="s">
        <v>620</v>
      </c>
      <c r="U108" s="42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3" t="s">
        <v>2501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2" t="s">
        <v>2528</v>
      </c>
      <c r="B109" s="28" t="s">
        <v>807</v>
      </c>
      <c r="C109" s="44" t="n">
        <f aca="false">Price_Frontier!D46</f>
        <v>1.60711111111111</v>
      </c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7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2" t="str">
        <f aca="false">IF(R109="—","—",IF(R109="A","基準輸入",IF(R109="B","情境、相對比較、反轉門檻","探索")))</f>
        <v>情境、相對比較、反轉門檻</v>
      </c>
      <c r="T109" s="28" t="s">
        <v>620</v>
      </c>
      <c r="U109" s="42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3" t="s">
        <v>2503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2" t="s">
        <v>2529</v>
      </c>
      <c r="B110" s="198"/>
      <c r="C110" s="194" t="str">
        <f aca="false">Price_Frontier!D26</f>
        <v>GPT-6 Sol</v>
      </c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7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2" t="str">
        <f aca="false">IF(R110="—","—",IF(R110="A","基準輸入",IF(R110="B","情境、相對比較、反轉門檻","探索")))</f>
        <v>情境、相對比較、反轉門檻</v>
      </c>
      <c r="T110" s="28" t="s">
        <v>620</v>
      </c>
      <c r="U110" s="42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3" t="s">
        <v>2505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2" t="s">
        <v>2530</v>
      </c>
      <c r="B111" s="42" t="s">
        <v>1169</v>
      </c>
      <c r="C111" s="30" t="n">
        <f aca="false">INDEX(B4_Life,1,2)</f>
        <v>12</v>
      </c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77" t="str">
        <f aca="false">IF(SUM(Gov_Map!$AG$454)&gt;0,"C",IF(SUM(Gov_Map!$AH$454)&gt;0,"B","A"))</f>
        <v>A</v>
      </c>
      <c r="S111" s="42" t="str">
        <f aca="false">IF(R111="—","—",IF(R111="A","基準輸入",IF(R111="B","情境、相對比較、反轉門檻","探索")))</f>
        <v>基準輸入</v>
      </c>
      <c r="T111" s="28" t="s">
        <v>620</v>
      </c>
      <c r="U111" s="42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3" t="s">
        <v>2492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2" t="s">
        <v>2531</v>
      </c>
      <c r="B112" s="28" t="s">
        <v>807</v>
      </c>
      <c r="C112" s="194" t="n">
        <f aca="false">Cache_Store!C23</f>
        <v>1.8859398782344E-005</v>
      </c>
      <c r="D112" s="194" t="n">
        <f aca="false">Cache_Store!D23</f>
        <v>1.8859398782344E-005</v>
      </c>
      <c r="E112" s="194" t="n">
        <f aca="false">Cache_Store!E23</f>
        <v>1.8859398782344E-005</v>
      </c>
      <c r="F112" s="194" t="n">
        <f aca="false">Cache_Store!F23</f>
        <v>1.8859398782344E-005</v>
      </c>
      <c r="G112" s="194" t="n">
        <f aca="false">Cache_Store!G23</f>
        <v>1.8859398782344E-005</v>
      </c>
      <c r="H112" s="194" t="n">
        <f aca="false">Cache_Store!H23</f>
        <v>1.8859398782344E-005</v>
      </c>
      <c r="I112" s="194" t="n">
        <f aca="false">Cache_Store!I23</f>
        <v>1.8859398782344E-005</v>
      </c>
      <c r="J112" s="194" t="n">
        <f aca="false">Cache_Store!J23</f>
        <v>1.8859398782344E-005</v>
      </c>
      <c r="K112" s="194" t="n">
        <f aca="false">Cache_Store!K23</f>
        <v>1.8859398782344E-005</v>
      </c>
      <c r="L112" s="194" t="n">
        <f aca="false">Cache_Store!L23</f>
        <v>1.8859398782344E-005</v>
      </c>
      <c r="M112" s="194" t="n">
        <f aca="false">Cache_Store!M23</f>
        <v>1.8859398782344E-005</v>
      </c>
      <c r="N112" s="194" t="n">
        <f aca="false">Cache_Store!N23</f>
        <v>1.8859398782344E-005</v>
      </c>
      <c r="O112" s="194" t="n">
        <f aca="false">Cache_Store!O23</f>
        <v>1.8859398782344E-005</v>
      </c>
      <c r="P112" s="194" t="n">
        <f aca="false">Cache_Store!P23</f>
        <v>1.8859398782344E-005</v>
      </c>
      <c r="Q112" s="194" t="n">
        <f aca="false">Cache_Store!Q23</f>
        <v>1.8859398782344E-005</v>
      </c>
      <c r="R112" s="177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2" t="str">
        <f aca="false">IF(R112="—","—",IF(R112="A","基準輸入",IF(R112="B","情境、相對比較、反轉門檻","探索")))</f>
        <v>情境、相對比較、反轉門檻</v>
      </c>
      <c r="T112" s="28" t="s">
        <v>620</v>
      </c>
      <c r="U112" s="42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3" t="s">
        <v>2508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2" t="s">
        <v>2532</v>
      </c>
      <c r="B113" s="28" t="s">
        <v>807</v>
      </c>
      <c r="C113" s="194" t="n">
        <f aca="false">Amortize!C22</f>
        <v>0.0890793579453931</v>
      </c>
      <c r="D113" s="194" t="n">
        <f aca="false">Amortize!D22</f>
        <v>0.127276584291371</v>
      </c>
      <c r="E113" s="194" t="n">
        <f aca="false">Amortize!E22</f>
        <v>0.218580708447162</v>
      </c>
      <c r="F113" s="194" t="n">
        <f aca="false">Amortize!F22</f>
        <v>0.0159893801066744</v>
      </c>
      <c r="G113" s="194" t="n">
        <f aca="false">Amortize!G22</f>
        <v>0.0213491859092809</v>
      </c>
      <c r="H113" s="194" t="n">
        <f aca="false">Amortize!H22</f>
        <v>0.0346266633084749</v>
      </c>
      <c r="I113" s="194" t="n">
        <f aca="false">Amortize!I22</f>
        <v>0.0143002608542256</v>
      </c>
      <c r="J113" s="194" t="n">
        <f aca="false">Amortize!J22</f>
        <v>0.018469614461431</v>
      </c>
      <c r="K113" s="194" t="n">
        <f aca="false">Amortize!K22</f>
        <v>0.0314454191167951</v>
      </c>
      <c r="L113" s="194" t="n">
        <f aca="false">Amortize!L22</f>
        <v>0.00546184221580753</v>
      </c>
      <c r="M113" s="194" t="n">
        <f aca="false">Amortize!M22</f>
        <v>0.00701987528196614</v>
      </c>
      <c r="N113" s="194" t="n">
        <f aca="false">Amortize!N22</f>
        <v>0.0113408258998428</v>
      </c>
      <c r="O113" s="194" t="n">
        <f aca="false">Amortize!O22</f>
        <v>0.00275204867902514</v>
      </c>
      <c r="P113" s="194" t="n">
        <f aca="false">Amortize!P22</f>
        <v>0.00418273664223652</v>
      </c>
      <c r="Q113" s="194" t="n">
        <f aca="false">Amortize!Q22</f>
        <v>0.00763575922192034</v>
      </c>
      <c r="R113" s="17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3" s="42" t="str">
        <f aca="false">IF(R113="—","—",IF(R113="A","基準輸入",IF(R113="B","情境、相對比較、反轉門檻","探索")))</f>
        <v>情境、相對比較、反轉門檻</v>
      </c>
      <c r="T113" s="28" t="s">
        <v>620</v>
      </c>
      <c r="U113" s="42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3" s="53" t="s">
        <v>2510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2" t="s">
        <v>2533</v>
      </c>
      <c r="B114" s="28" t="s">
        <v>807</v>
      </c>
      <c r="C114" s="186" t="n">
        <f aca="false">Amortize!C24</f>
        <v>0.718486025431483</v>
      </c>
      <c r="D114" s="186" t="n">
        <f aca="false">Amortize!D24</f>
        <v>1.02656333204258</v>
      </c>
      <c r="E114" s="186" t="n">
        <f aca="false">Amortize!E24</f>
        <v>1.7629709548794</v>
      </c>
      <c r="F114" s="186" t="n">
        <f aca="false">Amortize!F24</f>
        <v>0.130648458909903</v>
      </c>
      <c r="G114" s="186" t="n">
        <f aca="false">Amortize!G24</f>
        <v>0.174435762741057</v>
      </c>
      <c r="H114" s="186" t="n">
        <f aca="false">Amortize!H24</f>
        <v>0.282907031738724</v>
      </c>
      <c r="I114" s="186" t="n">
        <f aca="false">Amortize!I24</f>
        <v>0.114412296158999</v>
      </c>
      <c r="J114" s="186" t="n">
        <f aca="false">Amortize!J24</f>
        <v>0.14776365429894</v>
      </c>
      <c r="K114" s="186" t="n">
        <f aca="false">Amortize!K24</f>
        <v>0.251559290022202</v>
      </c>
      <c r="L114" s="186" t="n">
        <f aca="false">Amortize!L24</f>
        <v>0.0808819890837787</v>
      </c>
      <c r="M114" s="186" t="n">
        <f aca="false">Amortize!M24</f>
        <v>0.103947898919895</v>
      </c>
      <c r="N114" s="186" t="n">
        <f aca="false">Amortize!N24</f>
        <v>0.167917438156943</v>
      </c>
      <c r="O114" s="186" t="n">
        <f aca="false">Amortize!O24</f>
        <v>0.0621848378353225</v>
      </c>
      <c r="P114" s="186" t="n">
        <f aca="false">Amortize!P24</f>
        <v>0.0945009310541822</v>
      </c>
      <c r="Q114" s="186" t="n">
        <f aca="false">Amortize!Q24</f>
        <v>0.172497113618978</v>
      </c>
      <c r="R114" s="17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14" s="42" t="str">
        <f aca="false">IF(R114="—","—",IF(R114="A","基準輸入",IF(R114="B","情境、相對比較、反轉門檻","探索")))</f>
        <v>情境、相對比較、反轉門檻</v>
      </c>
      <c r="T114" s="28" t="s">
        <v>620</v>
      </c>
      <c r="U114" s="42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14" s="53" t="s">
        <v>2512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2" t="s">
        <v>2534</v>
      </c>
      <c r="B115" s="28" t="s">
        <v>807</v>
      </c>
      <c r="C115" s="186" t="n">
        <f aca="false">Theory_Rev!C36</f>
        <v>0.58836625697405</v>
      </c>
      <c r="D115" s="186" t="n">
        <f aca="false">Theory_Rev!D36</f>
        <v>0.840651103168418</v>
      </c>
      <c r="E115" s="186" t="n">
        <f aca="false">Theory_Rev!E36</f>
        <v>1.44369611777013</v>
      </c>
      <c r="F115" s="186" t="n">
        <f aca="false">Theory_Rev!F36</f>
        <v>0.10677898714576</v>
      </c>
      <c r="G115" s="186" t="n">
        <f aca="false">Theory_Rev!G36</f>
        <v>0.142567258322558</v>
      </c>
      <c r="H115" s="186" t="n">
        <f aca="false">Theory_Rev!H36</f>
        <v>0.231223075194707</v>
      </c>
      <c r="I115" s="186" t="n">
        <f aca="false">Theory_Rev!I36</f>
        <v>0.0938071107274286</v>
      </c>
      <c r="J115" s="186" t="n">
        <f aca="false">Theory_Rev!J36</f>
        <v>0.12115283185561</v>
      </c>
      <c r="K115" s="186" t="n">
        <f aca="false">Theory_Rev!K36</f>
        <v>0.206257807098325</v>
      </c>
      <c r="L115" s="186" t="n">
        <f aca="false">Theory_Rev!L36</f>
        <v>0.0616679702231791</v>
      </c>
      <c r="M115" s="186" t="n">
        <f aca="false">Theory_Rev!M36</f>
        <v>0.0792548558873168</v>
      </c>
      <c r="N115" s="186" t="n">
        <f aca="false">Theory_Rev!N36</f>
        <v>0.128029215127549</v>
      </c>
      <c r="O115" s="186" t="n">
        <f aca="false">Theory_Rev!O36</f>
        <v>0.0459652410730628</v>
      </c>
      <c r="P115" s="186" t="n">
        <f aca="false">Theory_Rev!P36</f>
        <v>0.069852875171414</v>
      </c>
      <c r="Q115" s="186" t="n">
        <f aca="false">Theory_Rev!Q36</f>
        <v>0.127506634787651</v>
      </c>
      <c r="R115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5" s="42" t="str">
        <f aca="false">IF(R115="—","—",IF(R115="A","基準輸入",IF(R115="B","情境、相對比較、反轉門檻","探索")))</f>
        <v>情境、相對比較、反轉門檻</v>
      </c>
      <c r="T115" s="28" t="s">
        <v>2455</v>
      </c>
      <c r="U115" s="42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5" s="53" t="s">
        <v>2514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2" t="s">
        <v>2535</v>
      </c>
      <c r="B116" s="28" t="s">
        <v>807</v>
      </c>
      <c r="C116" s="195" t="n">
        <f aca="false">Amortize!C45</f>
        <v>1.23167813077865</v>
      </c>
      <c r="D116" s="195" t="n">
        <f aca="false">Amortize!D45</f>
        <v>1.75979515194415</v>
      </c>
      <c r="E116" s="195" t="n">
        <f aca="false">Amortize!E45</f>
        <v>3.02217115884388</v>
      </c>
      <c r="F116" s="195" t="n">
        <f aca="false">Amortize!F45</f>
        <v>0.0757632020397096</v>
      </c>
      <c r="G116" s="195" t="n">
        <f aca="false">Amortize!G45</f>
        <v>0.101150905284473</v>
      </c>
      <c r="H116" s="195" t="n">
        <f aca="false">Amortize!H45</f>
        <v>0.164042112254299</v>
      </c>
      <c r="I116" s="195" t="n">
        <f aca="false">Amortize!I45</f>
        <v>0.0735684099853945</v>
      </c>
      <c r="J116" s="195" t="n">
        <f aca="false">Amortize!J45</f>
        <v>0.0950098317157649</v>
      </c>
      <c r="K116" s="195" t="n">
        <f aca="false">Amortize!K45</f>
        <v>0.161739527999082</v>
      </c>
      <c r="L116" s="195" t="n">
        <f aca="false">Amortize!L45</f>
        <v>0.0446790819458483</v>
      </c>
      <c r="M116" s="195" t="n">
        <f aca="false">Amortize!M45</f>
        <v>0.0574168489623591</v>
      </c>
      <c r="N116" s="195" t="n">
        <f aca="false">Amortize!N45</f>
        <v>0.0927429684497086</v>
      </c>
      <c r="O116" s="195" t="n">
        <f aca="false">Amortize!O45</f>
        <v>0.0330042671617454</v>
      </c>
      <c r="P116" s="195" t="n">
        <f aca="false">Amortize!P45</f>
        <v>0.0501490489575044</v>
      </c>
      <c r="Q116" s="195" t="n">
        <f aca="false">Amortize!Q45</f>
        <v>0.0915286650490684</v>
      </c>
      <c r="R116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6" s="42" t="str">
        <f aca="false">IF(R116="—","—",IF(R116="A","基準輸入",IF(R116="B","情境、相對比較、反轉門檻","探索")))</f>
        <v>情境、相對比較、反轉門檻</v>
      </c>
      <c r="T116" s="28" t="s">
        <v>620</v>
      </c>
      <c r="U116" s="42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6" s="53" t="s">
        <v>2514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2" t="s">
        <v>2536</v>
      </c>
      <c r="B117" s="28" t="s">
        <v>807</v>
      </c>
      <c r="C117" s="194" t="n">
        <f aca="false">Amortize!C46</f>
        <v>1.23695847181635</v>
      </c>
      <c r="D117" s="194" t="n">
        <f aca="false">Amortize!D46</f>
        <v>1.76733958934751</v>
      </c>
      <c r="E117" s="194" t="n">
        <f aca="false">Amortize!E46</f>
        <v>3.03512754249169</v>
      </c>
      <c r="F117" s="194" t="n">
        <f aca="false">Amortize!F46</f>
        <v>0.158902140573672</v>
      </c>
      <c r="G117" s="194" t="n">
        <f aca="false">Amortize!G46</f>
        <v>0.21214910323145</v>
      </c>
      <c r="H117" s="194" t="n">
        <f aca="false">Amortize!H46</f>
        <v>0.344054132872743</v>
      </c>
      <c r="I117" s="194" t="n">
        <f aca="false">Amortize!I46</f>
        <v>0.149431056183798</v>
      </c>
      <c r="J117" s="194" t="n">
        <f aca="false">Amortize!J46</f>
        <v>0.192982551939757</v>
      </c>
      <c r="K117" s="194" t="n">
        <f aca="false">Amortize!K46</f>
        <v>0.328522914935502</v>
      </c>
      <c r="L117" s="194" t="n">
        <f aca="false">Amortize!L46</f>
        <v>0.0971179608385562</v>
      </c>
      <c r="M117" s="194" t="n">
        <f aca="false">Amortize!M46</f>
        <v>0.124805771429192</v>
      </c>
      <c r="N117" s="194" t="n">
        <f aca="false">Amortize!N46</f>
        <v>0.201593398648318</v>
      </c>
      <c r="O117" s="194" t="n">
        <f aca="false">Amortize!O46</f>
        <v>0.0737187706076097</v>
      </c>
      <c r="P117" s="194" t="n">
        <f aca="false">Amortize!P46</f>
        <v>0.1120135835215</v>
      </c>
      <c r="Q117" s="194" t="n">
        <f aca="false">Amortize!Q46</f>
        <v>0.204439645022441</v>
      </c>
      <c r="R117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7" s="42" t="str">
        <f aca="false">IF(R117="—","—",IF(R117="A","基準輸入",IF(R117="B","情境、相對比較、反轉門檻","探索")))</f>
        <v>情境、相對比較、反轉門檻</v>
      </c>
      <c r="T117" s="28" t="s">
        <v>620</v>
      </c>
      <c r="U117" s="42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7" s="53" t="s">
        <v>2517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2" t="s">
        <v>2537</v>
      </c>
      <c r="B118" s="28" t="s">
        <v>807</v>
      </c>
      <c r="C118" s="196" t="n">
        <f aca="false">Theory_Rev!C38</f>
        <v>1.73096502980731</v>
      </c>
      <c r="D118" s="196" t="n">
        <f aca="false">Theory_Rev!D38</f>
        <v>2.47316967082119</v>
      </c>
      <c r="E118" s="196" t="n">
        <f aca="false">Theory_Rev!E38</f>
        <v>4.24728656816685</v>
      </c>
      <c r="F118" s="196" t="n">
        <f aca="false">Theory_Rev!F38</f>
        <v>0.166552809078795</v>
      </c>
      <c r="G118" s="196" t="n">
        <f aca="false">Theory_Rev!G38</f>
        <v>0.22236897769775</v>
      </c>
      <c r="H118" s="196" t="n">
        <f aca="false">Theory_Rev!H38</f>
        <v>0.360638524140531</v>
      </c>
      <c r="I118" s="196" t="n">
        <f aca="false">Theory_Rev!I38</f>
        <v>0.153075259858597</v>
      </c>
      <c r="J118" s="196" t="n">
        <f aca="false">Theory_Rev!J38</f>
        <v>0.197693049109943</v>
      </c>
      <c r="K118" s="196" t="n">
        <f aca="false">Theory_Rev!K38</f>
        <v>0.336551915980613</v>
      </c>
      <c r="L118" s="196" t="n">
        <f aca="false">Theory_Rev!L38</f>
        <v>0.10088520995322</v>
      </c>
      <c r="M118" s="196" t="n">
        <f aca="false">Theory_Rev!M38</f>
        <v>0.12965182956771</v>
      </c>
      <c r="N118" s="196" t="n">
        <f aca="false">Theory_Rev!N38</f>
        <v>0.209431357677415</v>
      </c>
      <c r="O118" s="196" t="n">
        <f aca="false">Theory_Rev!O38</f>
        <v>0.076217459555783</v>
      </c>
      <c r="P118" s="196" t="n">
        <f aca="false">Theory_Rev!P38</f>
        <v>0.115819187486682</v>
      </c>
      <c r="Q118" s="196" t="n">
        <f aca="false">Theory_Rev!Q38</f>
        <v>0.211399540614799</v>
      </c>
      <c r="R118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8" s="42" t="str">
        <f aca="false">IF(R118="—","—",IF(R118="A","基準輸入",IF(R118="B","情境、相對比較、反轉門檻","探索")))</f>
        <v>情境、相對比較、反轉門檻</v>
      </c>
      <c r="T118" s="28" t="s">
        <v>2455</v>
      </c>
      <c r="U118" s="42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8" s="53" t="s">
        <v>2514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2" t="s">
        <v>2538</v>
      </c>
      <c r="B119" s="28" t="s">
        <v>1814</v>
      </c>
      <c r="C119" s="197" t="n">
        <f aca="false">Theory_Rev!C29</f>
        <v>17.9320934823355</v>
      </c>
      <c r="D119" s="197" t="n">
        <f aca="false">Theory_Rev!D29</f>
        <v>17.9320934823355</v>
      </c>
      <c r="E119" s="197" t="n">
        <f aca="false">Theory_Rev!E29</f>
        <v>17.9320934823355</v>
      </c>
      <c r="F119" s="197" t="n">
        <f aca="false">Theory_Rev!F29</f>
        <v>100.404653415384</v>
      </c>
      <c r="G119" s="197" t="n">
        <f aca="false">Theory_Rev!G29</f>
        <v>100.404653415384</v>
      </c>
      <c r="H119" s="197" t="n">
        <f aca="false">Theory_Rev!H29</f>
        <v>100.404653415384</v>
      </c>
      <c r="I119" s="197" t="n">
        <f aca="false">Theory_Rev!I29</f>
        <v>146.176727443319</v>
      </c>
      <c r="J119" s="197" t="n">
        <f aca="false">Theory_Rev!J29</f>
        <v>146.176727443319</v>
      </c>
      <c r="K119" s="197" t="n">
        <f aca="false">Theory_Rev!K29</f>
        <v>146.176727443319</v>
      </c>
      <c r="L119" s="197" t="n">
        <f aca="false">Theory_Rev!L29</f>
        <v>228.808271164193</v>
      </c>
      <c r="M119" s="197" t="n">
        <f aca="false">Theory_Rev!M29</f>
        <v>228.808271164193</v>
      </c>
      <c r="N119" s="197" t="n">
        <f aca="false">Theory_Rev!N29</f>
        <v>228.808271164193</v>
      </c>
      <c r="O119" s="197" t="n">
        <f aca="false">Theory_Rev!O29</f>
        <v>314.529969229019</v>
      </c>
      <c r="P119" s="197" t="n">
        <f aca="false">Theory_Rev!P29</f>
        <v>314.529969229019</v>
      </c>
      <c r="Q119" s="197" t="n">
        <f aca="false">Theory_Rev!Q29</f>
        <v>314.529969229019</v>
      </c>
      <c r="R119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2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2455</v>
      </c>
      <c r="U119" s="42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53" t="s">
        <v>2520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2" t="s">
        <v>2539</v>
      </c>
      <c r="B120" s="28" t="s">
        <v>1814</v>
      </c>
      <c r="C120" s="188" t="n">
        <f aca="false">Theory_Rev!C30</f>
        <v>17.9320934823355</v>
      </c>
      <c r="D120" s="188" t="n">
        <f aca="false">Theory_Rev!D30</f>
        <v>17.9320934823355</v>
      </c>
      <c r="E120" s="188" t="n">
        <f aca="false">Theory_Rev!E30</f>
        <v>17.9320934823355</v>
      </c>
      <c r="F120" s="188" t="n">
        <f aca="false">Theory_Rev!F30</f>
        <v>100.404653415384</v>
      </c>
      <c r="G120" s="188" t="n">
        <f aca="false">Theory_Rev!G30</f>
        <v>100.404653415384</v>
      </c>
      <c r="H120" s="188" t="n">
        <f aca="false">Theory_Rev!H30</f>
        <v>100.404653415384</v>
      </c>
      <c r="I120" s="188" t="n">
        <f aca="false">Theory_Rev!I30</f>
        <v>146.176727443319</v>
      </c>
      <c r="J120" s="188" t="n">
        <f aca="false">Theory_Rev!J30</f>
        <v>146.176727443319</v>
      </c>
      <c r="K120" s="188" t="n">
        <f aca="false">Theory_Rev!K30</f>
        <v>146.176727443319</v>
      </c>
      <c r="L120" s="188" t="n">
        <f aca="false">Theory_Rev!L30</f>
        <v>228.808271164193</v>
      </c>
      <c r="M120" s="188" t="n">
        <f aca="false">Theory_Rev!M30</f>
        <v>228.808271164193</v>
      </c>
      <c r="N120" s="188" t="n">
        <f aca="false">Theory_Rev!N30</f>
        <v>228.808271164193</v>
      </c>
      <c r="O120" s="188" t="n">
        <f aca="false">Theory_Rev!O30</f>
        <v>314.529969229019</v>
      </c>
      <c r="P120" s="188" t="n">
        <f aca="false">Theory_Rev!P30</f>
        <v>314.529969229019</v>
      </c>
      <c r="Q120" s="188" t="n">
        <f aca="false">Theory_Rev!Q30</f>
        <v>314.529969229019</v>
      </c>
      <c r="R120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2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2455</v>
      </c>
      <c r="U120" s="42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53" t="s">
        <v>2522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264</v>
      </c>
      <c r="B121" s="198"/>
      <c r="C121" s="44"/>
    </row>
    <row r="122" customFormat="false" ht="15" hidden="false" customHeight="true" outlineLevel="0" collapsed="false">
      <c r="A122" s="42" t="s">
        <v>2540</v>
      </c>
      <c r="B122" s="28" t="s">
        <v>807</v>
      </c>
      <c r="C122" s="44" t="n">
        <f aca="false">Price_Frontier!E41</f>
        <v>8</v>
      </c>
      <c r="R122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2" t="str">
        <f aca="false">IF(R122="—","—",IF(R122="A","基準輸入",IF(R122="B","情境、相對比較、反轉門檻","探索")))</f>
        <v>基準輸入</v>
      </c>
      <c r="T122" s="28" t="s">
        <v>620</v>
      </c>
      <c r="U122" s="42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3" t="s">
        <v>2496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2" t="s">
        <v>2541</v>
      </c>
      <c r="B123" s="28" t="s">
        <v>807</v>
      </c>
      <c r="C123" s="44" t="n">
        <f aca="false">Price_Frontier!E42</f>
        <v>0.8</v>
      </c>
      <c r="R123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2" t="str">
        <f aca="false">IF(R123="—","—",IF(R123="A","基準輸入",IF(R123="B","情境、相對比較、反轉門檻","探索")))</f>
        <v>基準輸入</v>
      </c>
      <c r="T123" s="28" t="s">
        <v>620</v>
      </c>
      <c r="U123" s="42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3" t="s">
        <v>2496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2" t="s">
        <v>2542</v>
      </c>
      <c r="B124" s="28" t="s">
        <v>807</v>
      </c>
      <c r="C124" s="44" t="n">
        <f aca="false">Price_Frontier!E43</f>
        <v>40</v>
      </c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2" t="str">
        <f aca="false">IF(R124="—","—",IF(R124="A","基準輸入",IF(R124="B","情境、相對比較、反轉門檻","探索")))</f>
        <v>基準輸入</v>
      </c>
      <c r="T124" s="28" t="s">
        <v>620</v>
      </c>
      <c r="U124" s="42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3" t="s">
        <v>2496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2" t="s">
        <v>2543</v>
      </c>
      <c r="B125" s="28" t="s">
        <v>807</v>
      </c>
      <c r="C125" s="44" t="n">
        <f aca="false">Price_Frontier!E44</f>
        <v>40</v>
      </c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2" t="str">
        <f aca="false">IF(R125="—","—",IF(R125="A","基準輸入",IF(R125="B","情境、相對比較、反轉門檻","探索")))</f>
        <v>基準輸入</v>
      </c>
      <c r="T125" s="28" t="s">
        <v>620</v>
      </c>
      <c r="U125" s="42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3" t="s">
        <v>2496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2" t="s">
        <v>2544</v>
      </c>
      <c r="B126" s="28" t="s">
        <v>807</v>
      </c>
      <c r="C126" s="54" t="n">
        <f aca="false">Price_Frontier!E45</f>
        <v>8.03555555555555</v>
      </c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7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2" t="str">
        <f aca="false">IF(R126="—","—",IF(R126="A","基準輸入",IF(R126="B","情境、相對比較、反轉門檻","探索")))</f>
        <v>情境、相對比較、反轉門檻</v>
      </c>
      <c r="T126" s="28" t="s">
        <v>620</v>
      </c>
      <c r="U126" s="42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3" t="s">
        <v>2501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2" t="s">
        <v>2545</v>
      </c>
      <c r="B127" s="28" t="s">
        <v>807</v>
      </c>
      <c r="C127" s="44" t="n">
        <f aca="false">Price_Frontier!E46</f>
        <v>7.74222222222222</v>
      </c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7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2" t="str">
        <f aca="false">IF(R127="—","—",IF(R127="A","基準輸入",IF(R127="B","情境、相對比較、反轉門檻","探索")))</f>
        <v>情境、相對比較、反轉門檻</v>
      </c>
      <c r="T127" s="28" t="s">
        <v>620</v>
      </c>
      <c r="U127" s="42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3" t="s">
        <v>2503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2" t="s">
        <v>2546</v>
      </c>
      <c r="B128" s="198"/>
      <c r="C128" s="188" t="str">
        <f aca="false">Price_Frontier!E26</f>
        <v>Claude Fable 5.1</v>
      </c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7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2" t="str">
        <f aca="false">IF(R128="—","—",IF(R128="A","基準輸入",IF(R128="B","情境、相對比較、反轉門檻","探索")))</f>
        <v>情境、相對比較、反轉門檻</v>
      </c>
      <c r="T128" s="28" t="s">
        <v>620</v>
      </c>
      <c r="U128" s="42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3" t="s">
        <v>2505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2" t="s">
        <v>2547</v>
      </c>
      <c r="B129" s="42" t="s">
        <v>1169</v>
      </c>
      <c r="C129" s="30" t="n">
        <f aca="false">INDEX(B4_Life,1,3)</f>
        <v>9</v>
      </c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77" t="str">
        <f aca="false">IF(SUM(Gov_Map!$AG$454)&gt;0,"C",IF(SUM(Gov_Map!$AH$454)&gt;0,"B","A"))</f>
        <v>A</v>
      </c>
      <c r="S129" s="42" t="str">
        <f aca="false">IF(R129="—","—",IF(R129="A","基準輸入",IF(R129="B","情境、相對比較、反轉門檻","探索")))</f>
        <v>基準輸入</v>
      </c>
      <c r="T129" s="28" t="s">
        <v>620</v>
      </c>
      <c r="U129" s="42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3" t="s">
        <v>2492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2" t="s">
        <v>2548</v>
      </c>
      <c r="B130" s="28" t="s">
        <v>807</v>
      </c>
      <c r="C130" s="194" t="n">
        <f aca="false">Cache_Store!C29</f>
        <v>0.000273972602739726</v>
      </c>
      <c r="D130" s="194" t="n">
        <f aca="false">Cache_Store!D29</f>
        <v>0.000273972602739726</v>
      </c>
      <c r="E130" s="194" t="n">
        <f aca="false">Cache_Store!E29</f>
        <v>0.000273972602739726</v>
      </c>
      <c r="F130" s="194" t="n">
        <f aca="false">Cache_Store!F29</f>
        <v>0.000273972602739726</v>
      </c>
      <c r="G130" s="194" t="n">
        <f aca="false">Cache_Store!G29</f>
        <v>0.000273972602739726</v>
      </c>
      <c r="H130" s="194" t="n">
        <f aca="false">Cache_Store!H29</f>
        <v>0.000273972602739726</v>
      </c>
      <c r="I130" s="194" t="n">
        <f aca="false">Cache_Store!I29</f>
        <v>0.000273972602739726</v>
      </c>
      <c r="J130" s="194" t="n">
        <f aca="false">Cache_Store!J29</f>
        <v>0.000273972602739726</v>
      </c>
      <c r="K130" s="194" t="n">
        <f aca="false">Cache_Store!K29</f>
        <v>0.000273972602739726</v>
      </c>
      <c r="L130" s="194" t="n">
        <f aca="false">Cache_Store!L29</f>
        <v>0.000273972602739726</v>
      </c>
      <c r="M130" s="194" t="n">
        <f aca="false">Cache_Store!M29</f>
        <v>0.000273972602739726</v>
      </c>
      <c r="N130" s="194" t="n">
        <f aca="false">Cache_Store!N29</f>
        <v>0.000273972602739726</v>
      </c>
      <c r="O130" s="194" t="n">
        <f aca="false">Cache_Store!O29</f>
        <v>0.000273972602739726</v>
      </c>
      <c r="P130" s="194" t="n">
        <f aca="false">Cache_Store!P29</f>
        <v>0.000273972602739726</v>
      </c>
      <c r="Q130" s="194" t="n">
        <f aca="false">Cache_Store!Q29</f>
        <v>0.000273972602739726</v>
      </c>
      <c r="R130" s="177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2" t="str">
        <f aca="false">IF(R130="—","—",IF(R130="A","基準輸入",IF(R130="B","情境、相對比較、反轉門檻","探索")))</f>
        <v>情境、相對比較、反轉門檻</v>
      </c>
      <c r="T130" s="28" t="s">
        <v>620</v>
      </c>
      <c r="U130" s="42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3" t="s">
        <v>2549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2" t="s">
        <v>2550</v>
      </c>
      <c r="B131" s="28" t="s">
        <v>807</v>
      </c>
      <c r="C131" s="194" t="str">
        <f aca="false">Amortize!C32</f>
        <v>SLO 不可達</v>
      </c>
      <c r="D131" s="194" t="str">
        <f aca="false">Amortize!D32</f>
        <v>SLO 不可達</v>
      </c>
      <c r="E131" s="194" t="str">
        <f aca="false">Amortize!E32</f>
        <v>SLO 不可達</v>
      </c>
      <c r="F131" s="194" t="n">
        <f aca="false">Amortize!F32</f>
        <v>0.402092994157101</v>
      </c>
      <c r="G131" s="194" t="n">
        <f aca="false">Amortize!G32</f>
        <v>0.536878729995042</v>
      </c>
      <c r="H131" s="194" t="n">
        <f aca="false">Amortize!H32</f>
        <v>0.870774140991408</v>
      </c>
      <c r="I131" s="194" t="n">
        <f aca="false">Amortize!I32</f>
        <v>0.366823042465288</v>
      </c>
      <c r="J131" s="194" t="n">
        <f aca="false">Amortize!J32</f>
        <v>0.473773187703846</v>
      </c>
      <c r="K131" s="194" t="n">
        <f aca="false">Amortize!K32</f>
        <v>0.806621951138076</v>
      </c>
      <c r="L131" s="194" t="n">
        <f aca="false">Amortize!L32</f>
        <v>0.136157625325142</v>
      </c>
      <c r="M131" s="194" t="n">
        <f aca="false">Amortize!M32</f>
        <v>0.174997649273883</v>
      </c>
      <c r="N131" s="194" t="n">
        <f aca="false">Amortize!N32</f>
        <v>0.282714121488067</v>
      </c>
      <c r="O131" s="194" t="n">
        <f aca="false">Amortize!O32</f>
        <v>0.0696087421755187</v>
      </c>
      <c r="P131" s="194" t="n">
        <f aca="false">Amortize!P32</f>
        <v>0.105795743635128</v>
      </c>
      <c r="Q131" s="194" t="n">
        <f aca="false">Amortize!Q32</f>
        <v>0.193134517948015</v>
      </c>
      <c r="R131" s="17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1" s="42" t="str">
        <f aca="false">IF(R131="—","—",IF(R131="A","基準輸入",IF(R131="B","情境、相對比較、反轉門檻","探索")))</f>
        <v>情境、相對比較、反轉門檻</v>
      </c>
      <c r="T131" s="28" t="s">
        <v>620</v>
      </c>
      <c r="U131" s="42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1" s="53" t="s">
        <v>2510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2" t="s">
        <v>2551</v>
      </c>
      <c r="B132" s="28" t="s">
        <v>807</v>
      </c>
      <c r="C132" s="186" t="str">
        <f aca="false">Amortize!C34</f>
        <v>SLO 不可達</v>
      </c>
      <c r="D132" s="186" t="str">
        <f aca="false">Amortize!D34</f>
        <v>SLO 不可達</v>
      </c>
      <c r="E132" s="186" t="str">
        <f aca="false">Amortize!E34</f>
        <v>SLO 不可達</v>
      </c>
      <c r="F132" s="186" t="n">
        <f aca="false">Amortize!F34</f>
        <v>0.719884900727599</v>
      </c>
      <c r="G132" s="186" t="n">
        <f aca="false">Amortize!G34</f>
        <v>0.961090090684005</v>
      </c>
      <c r="H132" s="186" t="n">
        <f aca="false">Amortize!H34</f>
        <v>1.55861107860059</v>
      </c>
      <c r="I132" s="186" t="n">
        <f aca="false">Amortize!I34</f>
        <v>0.771872419196334</v>
      </c>
      <c r="J132" s="186" t="n">
        <f aca="false">Amortize!J34</f>
        <v>0.996824237261942</v>
      </c>
      <c r="K132" s="186" t="n">
        <f aca="false">Amortize!K34</f>
        <v>1.69691617550482</v>
      </c>
      <c r="L132" s="186" t="n">
        <f aca="false">Amortize!L34</f>
        <v>0.396015125991253</v>
      </c>
      <c r="M132" s="186" t="n">
        <f aca="false">Amortize!M34</f>
        <v>0.508889890366036</v>
      </c>
      <c r="N132" s="186" t="n">
        <f aca="false">Amortize!N34</f>
        <v>0.821929641229864</v>
      </c>
      <c r="O132" s="186" t="n">
        <f aca="false">Amortize!O34</f>
        <v>0.286637340360856</v>
      </c>
      <c r="P132" s="186" t="n">
        <f aca="false">Amortize!P34</f>
        <v>0.435482452267704</v>
      </c>
      <c r="Q132" s="186" t="n">
        <f aca="false">Amortize!Q34</f>
        <v>0.794726078764881</v>
      </c>
      <c r="R132" s="17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32" s="42" t="str">
        <f aca="false">IF(R132="—","—",IF(R132="A","基準輸入",IF(R132="B","情境、相對比較、反轉門檻","探索")))</f>
        <v>情境、相對比較、反轉門檻</v>
      </c>
      <c r="T132" s="28" t="s">
        <v>620</v>
      </c>
      <c r="U132" s="42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32" s="53" t="s">
        <v>2512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2" t="s">
        <v>2552</v>
      </c>
      <c r="B133" s="28" t="s">
        <v>807</v>
      </c>
      <c r="C133" s="186" t="str">
        <f aca="false">Theory_Rev!C54</f>
        <v>SLO 不可達</v>
      </c>
      <c r="D133" s="186" t="str">
        <f aca="false">Theory_Rev!D54</f>
        <v>SLO 不可達</v>
      </c>
      <c r="E133" s="186" t="str">
        <f aca="false">Theory_Rev!E54</f>
        <v>SLO 不可達</v>
      </c>
      <c r="F133" s="186" t="n">
        <f aca="false">Theory_Rev!F54</f>
        <v>0.902351992967805</v>
      </c>
      <c r="G133" s="186" t="n">
        <f aca="false">Theory_Rev!G54</f>
        <v>1.20475489470766</v>
      </c>
      <c r="H133" s="186" t="n">
        <f aca="false">Theory_Rev!H54</f>
        <v>1.95387675493419</v>
      </c>
      <c r="I133" s="186" t="n">
        <f aca="false">Theory_Rev!I54</f>
        <v>0.903208960889859</v>
      </c>
      <c r="J133" s="186" t="n">
        <f aca="false">Theory_Rev!J54</f>
        <v>1.16648155597062</v>
      </c>
      <c r="K133" s="186" t="n">
        <f aca="false">Theory_Rev!K54</f>
        <v>1.98583488665837</v>
      </c>
      <c r="L133" s="186" t="n">
        <f aca="false">Theory_Rev!L54</f>
        <v>0.411354577285165</v>
      </c>
      <c r="M133" s="186" t="n">
        <f aca="false">Theory_Rev!M54</f>
        <v>0.528632996816382</v>
      </c>
      <c r="N133" s="186" t="n">
        <f aca="false">Theory_Rev!N54</f>
        <v>0.85388556708848</v>
      </c>
      <c r="O133" s="186" t="n">
        <f aca="false">Theory_Rev!O54</f>
        <v>0.268797402426283</v>
      </c>
      <c r="P133" s="186" t="n">
        <f aca="false">Theory_Rev!P54</f>
        <v>0.408419142668617</v>
      </c>
      <c r="Q133" s="186" t="n">
        <f aca="false">Theory_Rev!Q54</f>
        <v>0.745401793021915</v>
      </c>
      <c r="R133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3" s="42" t="str">
        <f aca="false">IF(R133="—","—",IF(R133="A","基準輸入",IF(R133="B","情境、相對比較、反轉門檻","探索")))</f>
        <v>情境、相對比較、反轉門檻</v>
      </c>
      <c r="T133" s="28" t="s">
        <v>2455</v>
      </c>
      <c r="U133" s="42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3" s="53" t="s">
        <v>2514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2" t="s">
        <v>2553</v>
      </c>
      <c r="B134" s="28" t="s">
        <v>807</v>
      </c>
      <c r="C134" s="195" t="str">
        <f aca="false">Amortize!C47</f>
        <v>SLO 不可達</v>
      </c>
      <c r="D134" s="195" t="str">
        <f aca="false">Amortize!D47</f>
        <v>SLO 不可達</v>
      </c>
      <c r="E134" s="195" t="str">
        <f aca="false">Amortize!E47</f>
        <v>SLO 不可達</v>
      </c>
      <c r="F134" s="195" t="n">
        <f aca="false">Amortize!F47</f>
        <v>1.9052553977599</v>
      </c>
      <c r="G134" s="195" t="n">
        <f aca="false">Amortize!G47</f>
        <v>2.54369275707928</v>
      </c>
      <c r="H134" s="195" t="n">
        <f aca="false">Amortize!H47</f>
        <v>4.12524961218807</v>
      </c>
      <c r="I134" s="195" t="n">
        <f aca="false">Amortize!I47</f>
        <v>1.88713956026905</v>
      </c>
      <c r="J134" s="195" t="n">
        <f aca="false">Amortize!J47</f>
        <v>2.43714404159232</v>
      </c>
      <c r="K134" s="195" t="n">
        <f aca="false">Amortize!K47</f>
        <v>4.14886038459861</v>
      </c>
      <c r="L134" s="195" t="n">
        <f aca="false">Amortize!L47</f>
        <v>1.11379960443524</v>
      </c>
      <c r="M134" s="195" t="n">
        <f aca="false">Amortize!M47</f>
        <v>1.43133790751795</v>
      </c>
      <c r="N134" s="195" t="n">
        <f aca="false">Amortize!N47</f>
        <v>2.31197860552805</v>
      </c>
      <c r="O134" s="195" t="n">
        <f aca="false">Amortize!O47</f>
        <v>0.834791019891287</v>
      </c>
      <c r="P134" s="195" t="n">
        <f aca="false">Amortize!P47</f>
        <v>1.26844130550297</v>
      </c>
      <c r="Q134" s="195" t="n">
        <f aca="false">Amortize!Q47</f>
        <v>2.31507360157847</v>
      </c>
      <c r="R134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4" s="42" t="str">
        <f aca="false">IF(R134="—","—",IF(R134="A","基準輸入",IF(R134="B","情境、相對比較、反轉門檻","探索")))</f>
        <v>情境、相對比較、反轉門檻</v>
      </c>
      <c r="T134" s="28" t="s">
        <v>620</v>
      </c>
      <c r="U134" s="42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4" s="53" t="s">
        <v>2514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2" t="s">
        <v>2554</v>
      </c>
      <c r="B135" s="28" t="s">
        <v>807</v>
      </c>
      <c r="C135" s="194" t="str">
        <f aca="false">Amortize!C48</f>
        <v>SLO 不可達</v>
      </c>
      <c r="D135" s="194" t="str">
        <f aca="false">Amortize!D48</f>
        <v>SLO 不可達</v>
      </c>
      <c r="E135" s="194" t="str">
        <f aca="false">Amortize!E48</f>
        <v>SLO 不可達</v>
      </c>
      <c r="F135" s="194" t="n">
        <f aca="false">Amortize!F48</f>
        <v>1.35822518708084</v>
      </c>
      <c r="G135" s="194" t="n">
        <f aca="false">Amortize!G48</f>
        <v>1.81335666332307</v>
      </c>
      <c r="H135" s="194" t="n">
        <f aca="false">Amortize!H48</f>
        <v>2.94082249175466</v>
      </c>
      <c r="I135" s="194" t="n">
        <f aca="false">Amortize!I48</f>
        <v>1.33996958943401</v>
      </c>
      <c r="J135" s="194" t="n">
        <f aca="false">Amortize!J48</f>
        <v>1.73050206225257</v>
      </c>
      <c r="K135" s="194" t="n">
        <f aca="false">Amortize!K48</f>
        <v>2.94591182507828</v>
      </c>
      <c r="L135" s="194" t="n">
        <f aca="false">Amortize!L48</f>
        <v>0.795400319476929</v>
      </c>
      <c r="M135" s="194" t="n">
        <f aca="false">Amortize!M48</f>
        <v>1.02216469137327</v>
      </c>
      <c r="N135" s="194" t="n">
        <f aca="false">Amortize!N48</f>
        <v>1.65105869506327</v>
      </c>
      <c r="O135" s="194" t="n">
        <f aca="false">Amortize!O48</f>
        <v>0.594263829823415</v>
      </c>
      <c r="P135" s="194" t="n">
        <f aca="false">Amortize!P48</f>
        <v>0.902967054212651</v>
      </c>
      <c r="Q135" s="194" t="n">
        <f aca="false">Amortize!Q48</f>
        <v>1.64803462425395</v>
      </c>
      <c r="R135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5" s="42" t="str">
        <f aca="false">IF(R135="—","—",IF(R135="A","基準輸入",IF(R135="B","情境、相對比較、反轉門檻","探索")))</f>
        <v>情境、相對比較、反轉門檻</v>
      </c>
      <c r="T135" s="28" t="s">
        <v>620</v>
      </c>
      <c r="U135" s="42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5" s="53" t="s">
        <v>2517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2" t="s">
        <v>2555</v>
      </c>
      <c r="B136" s="28" t="s">
        <v>807</v>
      </c>
      <c r="C136" s="196" t="str">
        <f aca="false">Theory_Rev!C56</f>
        <v>SLO 不可達</v>
      </c>
      <c r="D136" s="196" t="str">
        <f aca="false">Theory_Rev!D56</f>
        <v>SLO 不可達</v>
      </c>
      <c r="E136" s="196" t="str">
        <f aca="false">Theory_Rev!E56</f>
        <v>SLO 不可達</v>
      </c>
      <c r="F136" s="196" t="n">
        <f aca="false">Theory_Rev!F56</f>
        <v>2.40551439657061</v>
      </c>
      <c r="G136" s="196" t="n">
        <f aca="false">Theory_Rev!G56</f>
        <v>3.21156892179189</v>
      </c>
      <c r="H136" s="196" t="n">
        <f aca="false">Theory_Rev!H56</f>
        <v>5.20835222613085</v>
      </c>
      <c r="I136" s="196" t="n">
        <f aca="false">Theory_Rev!I56</f>
        <v>2.42352547869363</v>
      </c>
      <c r="J136" s="196" t="n">
        <f aca="false">Theory_Rev!J56</f>
        <v>3.1298524098591</v>
      </c>
      <c r="K136" s="196" t="n">
        <f aca="false">Theory_Rev!K56</f>
        <v>5.32807332011891</v>
      </c>
      <c r="L136" s="196" t="n">
        <f aca="false">Theory_Rev!L56</f>
        <v>1.38899655639526</v>
      </c>
      <c r="M136" s="196" t="n">
        <f aca="false">Theory_Rev!M56</f>
        <v>1.78497325506045</v>
      </c>
      <c r="N136" s="196" t="n">
        <f aca="false">Theory_Rev!N56</f>
        <v>2.88315005112846</v>
      </c>
      <c r="O136" s="196" t="n">
        <f aca="false">Theory_Rev!O56</f>
        <v>1.03397968014205</v>
      </c>
      <c r="P136" s="196" t="n">
        <f aca="false">Theory_Rev!P56</f>
        <v>1.57106470453646</v>
      </c>
      <c r="Q136" s="196" t="n">
        <f aca="false">Theory_Rev!Q56</f>
        <v>2.86734087665237</v>
      </c>
      <c r="R136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6" s="42" t="str">
        <f aca="false">IF(R136="—","—",IF(R136="A","基準輸入",IF(R136="B","情境、相對比較、反轉門檻","探索")))</f>
        <v>情境、相對比較、反轉門檻</v>
      </c>
      <c r="T136" s="28" t="s">
        <v>2455</v>
      </c>
      <c r="U136" s="42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6" s="53" t="s">
        <v>2514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2" t="s">
        <v>2556</v>
      </c>
      <c r="B137" s="28" t="s">
        <v>1814</v>
      </c>
      <c r="C137" s="197" t="str">
        <f aca="false">Theory_Rev!C47</f>
        <v>TTFT 不可達</v>
      </c>
      <c r="D137" s="197" t="str">
        <f aca="false">Theory_Rev!D47</f>
        <v>TTFT 不可達</v>
      </c>
      <c r="E137" s="197" t="str">
        <f aca="false">Theory_Rev!E47</f>
        <v>TTFT 不可達</v>
      </c>
      <c r="F137" s="197" t="n">
        <f aca="false">Theory_Rev!F47</f>
        <v>96.6283848132214</v>
      </c>
      <c r="G137" s="197" t="n">
        <f aca="false">Theory_Rev!G47</f>
        <v>96.6283848132214</v>
      </c>
      <c r="H137" s="197" t="n">
        <f aca="false">Theory_Rev!H47</f>
        <v>96.6283848132214</v>
      </c>
      <c r="I137" s="197" t="n">
        <f aca="false">Theory_Rev!I47</f>
        <v>116.841337205439</v>
      </c>
      <c r="J137" s="197" t="n">
        <f aca="false">Theory_Rev!J47</f>
        <v>116.841337205439</v>
      </c>
      <c r="K137" s="197" t="n">
        <f aca="false">Theory_Rev!K47</f>
        <v>116.841337205439</v>
      </c>
      <c r="L137" s="197" t="n">
        <f aca="false">Theory_Rev!L47</f>
        <v>246.697456312585</v>
      </c>
      <c r="M137" s="197" t="n">
        <f aca="false">Theory_Rev!M47</f>
        <v>246.697456312585</v>
      </c>
      <c r="N137" s="197" t="n">
        <f aca="false">Theory_Rev!N47</f>
        <v>246.697456312585</v>
      </c>
      <c r="O137" s="197" t="n">
        <f aca="false">Theory_Rev!O47</f>
        <v>358.71180915499</v>
      </c>
      <c r="P137" s="197" t="n">
        <f aca="false">Theory_Rev!P47</f>
        <v>358.71180915499</v>
      </c>
      <c r="Q137" s="197" t="n">
        <f aca="false">Theory_Rev!Q47</f>
        <v>358.71180915499</v>
      </c>
      <c r="R137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2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2455</v>
      </c>
      <c r="U137" s="42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53" t="s">
        <v>2520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2" t="s">
        <v>2557</v>
      </c>
      <c r="B138" s="28" t="s">
        <v>1814</v>
      </c>
      <c r="C138" s="188" t="str">
        <f aca="false">Theory_Rev!C48</f>
        <v>TTFT 不可達</v>
      </c>
      <c r="D138" s="188" t="str">
        <f aca="false">Theory_Rev!D48</f>
        <v>TTFT 不可達</v>
      </c>
      <c r="E138" s="188" t="str">
        <f aca="false">Theory_Rev!E48</f>
        <v>TTFT 不可達</v>
      </c>
      <c r="F138" s="188" t="n">
        <f aca="false">Theory_Rev!F48</f>
        <v>93.101021208314</v>
      </c>
      <c r="G138" s="188" t="n">
        <f aca="false">Theory_Rev!G48</f>
        <v>93.101021208314</v>
      </c>
      <c r="H138" s="188" t="n">
        <f aca="false">Theory_Rev!H48</f>
        <v>93.101021208314</v>
      </c>
      <c r="I138" s="188" t="n">
        <f aca="false">Theory_Rev!I48</f>
        <v>112.576111400374</v>
      </c>
      <c r="J138" s="188" t="n">
        <f aca="false">Theory_Rev!J48</f>
        <v>112.576111400374</v>
      </c>
      <c r="K138" s="188" t="n">
        <f aca="false">Theory_Rev!K48</f>
        <v>112.576111400374</v>
      </c>
      <c r="L138" s="188" t="n">
        <f aca="false">Theory_Rev!L48</f>
        <v>237.691907575511</v>
      </c>
      <c r="M138" s="188" t="n">
        <f aca="false">Theory_Rev!M48</f>
        <v>237.691907575511</v>
      </c>
      <c r="N138" s="188" t="n">
        <f aca="false">Theory_Rev!N48</f>
        <v>237.691907575511</v>
      </c>
      <c r="O138" s="188" t="n">
        <f aca="false">Theory_Rev!O48</f>
        <v>345.617240900439</v>
      </c>
      <c r="P138" s="188" t="n">
        <f aca="false">Theory_Rev!P48</f>
        <v>345.617240900439</v>
      </c>
      <c r="Q138" s="188" t="n">
        <f aca="false">Theory_Rev!Q48</f>
        <v>345.617240900439</v>
      </c>
      <c r="R138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2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2455</v>
      </c>
      <c r="U138" s="42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53" t="s">
        <v>2522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2558</v>
      </c>
    </row>
    <row r="140" customFormat="false" ht="15" hidden="false" customHeight="true" outlineLevel="0" collapsed="false">
      <c r="A140" s="42" t="s">
        <v>2559</v>
      </c>
      <c r="B140" s="28" t="s">
        <v>1814</v>
      </c>
      <c r="C140" s="199" t="n">
        <f aca="false">Theory_Rev!C64</f>
        <v>0.140257484578294</v>
      </c>
      <c r="D140" s="199" t="n">
        <f aca="false">Theory_Rev!D64</f>
        <v>0.140257484578294</v>
      </c>
      <c r="E140" s="199" t="n">
        <f aca="false">Theory_Rev!E64</f>
        <v>0.140257484578294</v>
      </c>
      <c r="F140" s="199" t="n">
        <f aca="false">Theory_Rev!F64</f>
        <v>0.330731407559226</v>
      </c>
      <c r="G140" s="199" t="n">
        <f aca="false">Theory_Rev!G64</f>
        <v>0.330731407559226</v>
      </c>
      <c r="H140" s="199" t="n">
        <f aca="false">Theory_Rev!H64</f>
        <v>0.330731407559226</v>
      </c>
      <c r="I140" s="199" t="n">
        <f aca="false">Theory_Rev!I64</f>
        <v>0.430577634420929</v>
      </c>
      <c r="J140" s="199" t="n">
        <f aca="false">Theory_Rev!J64</f>
        <v>0.430577634420929</v>
      </c>
      <c r="K140" s="199" t="n">
        <f aca="false">Theory_Rev!K64</f>
        <v>0.430577634420929</v>
      </c>
      <c r="L140" s="199" t="n">
        <f aca="false">Theory_Rev!L64</f>
        <v>0.798749212524483</v>
      </c>
      <c r="M140" s="199" t="n">
        <f aca="false">Theory_Rev!M64</f>
        <v>0.798749212524483</v>
      </c>
      <c r="N140" s="199" t="n">
        <f aca="false">Theory_Rev!N64</f>
        <v>0.798749212524483</v>
      </c>
      <c r="O140" s="199" t="n">
        <f aca="false">Theory_Rev!O64</f>
        <v>1.12996107729852</v>
      </c>
      <c r="P140" s="199" t="n">
        <f aca="false">Theory_Rev!P64</f>
        <v>1.12996107729852</v>
      </c>
      <c r="Q140" s="199" t="n">
        <f aca="false">Theory_Rev!Q64</f>
        <v>1.12996107729852</v>
      </c>
      <c r="R140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2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2455</v>
      </c>
      <c r="U140" s="42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53" t="s">
        <v>2560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2" t="s">
        <v>2561</v>
      </c>
      <c r="B141" s="28" t="s">
        <v>1814</v>
      </c>
      <c r="C141" s="199" t="n">
        <f aca="false">Theory_Rev!C65</f>
        <v>3.15579340301161</v>
      </c>
      <c r="D141" s="199" t="n">
        <f aca="false">Theory_Rev!D65</f>
        <v>3.15579340301161</v>
      </c>
      <c r="E141" s="199" t="n">
        <f aca="false">Theory_Rev!E65</f>
        <v>3.15579340301161</v>
      </c>
      <c r="F141" s="199" t="n">
        <f aca="false">Theory_Rev!F65</f>
        <v>7.44145667008259</v>
      </c>
      <c r="G141" s="199" t="n">
        <f aca="false">Theory_Rev!G65</f>
        <v>7.44145667008259</v>
      </c>
      <c r="H141" s="199" t="n">
        <f aca="false">Theory_Rev!H65</f>
        <v>7.44145667008259</v>
      </c>
      <c r="I141" s="199" t="n">
        <f aca="false">Theory_Rev!I65</f>
        <v>9.6879967744709</v>
      </c>
      <c r="J141" s="199" t="n">
        <f aca="false">Theory_Rev!J65</f>
        <v>9.6879967744709</v>
      </c>
      <c r="K141" s="199" t="n">
        <f aca="false">Theory_Rev!K65</f>
        <v>9.6879967744709</v>
      </c>
      <c r="L141" s="199" t="n">
        <f aca="false">Theory_Rev!L65</f>
        <v>17.9718572818009</v>
      </c>
      <c r="M141" s="199" t="n">
        <f aca="false">Theory_Rev!M65</f>
        <v>17.9718572818009</v>
      </c>
      <c r="N141" s="199" t="n">
        <f aca="false">Theory_Rev!N65</f>
        <v>17.9718572818009</v>
      </c>
      <c r="O141" s="199" t="n">
        <f aca="false">Theory_Rev!O65</f>
        <v>25.4241242392166</v>
      </c>
      <c r="P141" s="199" t="n">
        <f aca="false">Theory_Rev!P65</f>
        <v>25.4241242392166</v>
      </c>
      <c r="Q141" s="199" t="n">
        <f aca="false">Theory_Rev!Q65</f>
        <v>25.4241242392166</v>
      </c>
      <c r="R141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2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2455</v>
      </c>
      <c r="U141" s="42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53" t="s">
        <v>2560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2" t="s">
        <v>2562</v>
      </c>
      <c r="B142" s="28" t="s">
        <v>1814</v>
      </c>
      <c r="C142" s="199" t="str">
        <f aca="false">Theory_Rev!C66</f>
        <v>SLO 不可達</v>
      </c>
      <c r="D142" s="199" t="str">
        <f aca="false">Theory_Rev!D66</f>
        <v>SLO 不可達</v>
      </c>
      <c r="E142" s="199" t="str">
        <f aca="false">Theory_Rev!E66</f>
        <v>SLO 不可達</v>
      </c>
      <c r="F142" s="199" t="n">
        <f aca="false">Theory_Rev!F66</f>
        <v>12.402427783471</v>
      </c>
      <c r="G142" s="199" t="n">
        <f aca="false">Theory_Rev!G66</f>
        <v>12.402427783471</v>
      </c>
      <c r="H142" s="199" t="n">
        <f aca="false">Theory_Rev!H66</f>
        <v>12.402427783471</v>
      </c>
      <c r="I142" s="199" t="n">
        <f aca="false">Theory_Rev!I66</f>
        <v>16.1466612907848</v>
      </c>
      <c r="J142" s="199" t="n">
        <f aca="false">Theory_Rev!J66</f>
        <v>16.1466612907848</v>
      </c>
      <c r="K142" s="199" t="n">
        <f aca="false">Theory_Rev!K66</f>
        <v>16.1466612907848</v>
      </c>
      <c r="L142" s="199" t="n">
        <f aca="false">Theory_Rev!L66</f>
        <v>29.9530954696681</v>
      </c>
      <c r="M142" s="199" t="n">
        <f aca="false">Theory_Rev!M66</f>
        <v>29.9530954696681</v>
      </c>
      <c r="N142" s="199" t="n">
        <f aca="false">Theory_Rev!N66</f>
        <v>29.9530954696681</v>
      </c>
      <c r="O142" s="199" t="n">
        <f aca="false">Theory_Rev!O66</f>
        <v>42.3735403986943</v>
      </c>
      <c r="P142" s="199" t="n">
        <f aca="false">Theory_Rev!P66</f>
        <v>42.3735403986943</v>
      </c>
      <c r="Q142" s="199" t="n">
        <f aca="false">Theory_Rev!Q66</f>
        <v>42.3735403986943</v>
      </c>
      <c r="R142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2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2455</v>
      </c>
      <c r="U142" s="42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53" t="s">
        <v>2560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2" t="s">
        <v>2563</v>
      </c>
      <c r="B143" s="28" t="s">
        <v>1814</v>
      </c>
      <c r="C143" s="197" t="n">
        <f aca="false">Theory_Rev!C67</f>
        <v>3.2960508875899</v>
      </c>
      <c r="D143" s="197" t="n">
        <f aca="false">Theory_Rev!D67</f>
        <v>3.2960508875899</v>
      </c>
      <c r="E143" s="197" t="n">
        <f aca="false">Theory_Rev!E67</f>
        <v>3.2960508875899</v>
      </c>
      <c r="F143" s="197" t="n">
        <f aca="false">Theory_Rev!F67</f>
        <v>20.1746158611128</v>
      </c>
      <c r="G143" s="197" t="n">
        <f aca="false">Theory_Rev!G67</f>
        <v>20.1746158611128</v>
      </c>
      <c r="H143" s="197" t="n">
        <f aca="false">Theory_Rev!H67</f>
        <v>20.1746158611128</v>
      </c>
      <c r="I143" s="197" t="n">
        <f aca="false">Theory_Rev!I67</f>
        <v>26.2652356996766</v>
      </c>
      <c r="J143" s="197" t="n">
        <f aca="false">Theory_Rev!J67</f>
        <v>26.2652356996766</v>
      </c>
      <c r="K143" s="197" t="n">
        <f aca="false">Theory_Rev!K67</f>
        <v>26.2652356996766</v>
      </c>
      <c r="L143" s="197" t="n">
        <f aca="false">Theory_Rev!L67</f>
        <v>48.7237019639935</v>
      </c>
      <c r="M143" s="197" t="n">
        <f aca="false">Theory_Rev!M67</f>
        <v>48.7237019639935</v>
      </c>
      <c r="N143" s="197" t="n">
        <f aca="false">Theory_Rev!N67</f>
        <v>48.7237019639935</v>
      </c>
      <c r="O143" s="197" t="n">
        <f aca="false">Theory_Rev!O67</f>
        <v>68.9276257152094</v>
      </c>
      <c r="P143" s="197" t="n">
        <f aca="false">Theory_Rev!P67</f>
        <v>68.9276257152094</v>
      </c>
      <c r="Q143" s="197" t="n">
        <f aca="false">Theory_Rev!Q67</f>
        <v>68.9276257152094</v>
      </c>
      <c r="R143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2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2455</v>
      </c>
      <c r="U143" s="42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53" t="s">
        <v>2560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2" t="s">
        <v>2564</v>
      </c>
      <c r="B144" s="28" t="s">
        <v>1814</v>
      </c>
      <c r="C144" s="199" t="n">
        <f aca="false">Theory_Rev!C68</f>
        <v>0.140257484578294</v>
      </c>
      <c r="D144" s="199" t="n">
        <f aca="false">Theory_Rev!D68</f>
        <v>0.140257484578294</v>
      </c>
      <c r="E144" s="199" t="n">
        <f aca="false">Theory_Rev!E68</f>
        <v>0.140257484578294</v>
      </c>
      <c r="F144" s="199" t="n">
        <f aca="false">Theory_Rev!F68</f>
        <v>0.330731407559226</v>
      </c>
      <c r="G144" s="199" t="n">
        <f aca="false">Theory_Rev!G68</f>
        <v>0.330731407559226</v>
      </c>
      <c r="H144" s="199" t="n">
        <f aca="false">Theory_Rev!H68</f>
        <v>0.330731407559226</v>
      </c>
      <c r="I144" s="199" t="n">
        <f aca="false">Theory_Rev!I68</f>
        <v>0.430577634420929</v>
      </c>
      <c r="J144" s="199" t="n">
        <f aca="false">Theory_Rev!J68</f>
        <v>0.430577634420929</v>
      </c>
      <c r="K144" s="199" t="n">
        <f aca="false">Theory_Rev!K68</f>
        <v>0.430577634420929</v>
      </c>
      <c r="L144" s="199" t="n">
        <f aca="false">Theory_Rev!L68</f>
        <v>0.798749212524483</v>
      </c>
      <c r="M144" s="199" t="n">
        <f aca="false">Theory_Rev!M68</f>
        <v>0.798749212524483</v>
      </c>
      <c r="N144" s="199" t="n">
        <f aca="false">Theory_Rev!N68</f>
        <v>0.798749212524483</v>
      </c>
      <c r="O144" s="199" t="n">
        <f aca="false">Theory_Rev!O68</f>
        <v>1.12996107729852</v>
      </c>
      <c r="P144" s="199" t="n">
        <f aca="false">Theory_Rev!P68</f>
        <v>1.12996107729852</v>
      </c>
      <c r="Q144" s="199" t="n">
        <f aca="false">Theory_Rev!Q68</f>
        <v>1.12996107729852</v>
      </c>
      <c r="R14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2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2455</v>
      </c>
      <c r="U144" s="42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53" t="s">
        <v>2565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2" t="s">
        <v>2566</v>
      </c>
      <c r="B145" s="28" t="s">
        <v>1814</v>
      </c>
      <c r="C145" s="199" t="n">
        <f aca="false">Theory_Rev!C69</f>
        <v>3.15579340301161</v>
      </c>
      <c r="D145" s="199" t="n">
        <f aca="false">Theory_Rev!D69</f>
        <v>3.15579340301161</v>
      </c>
      <c r="E145" s="199" t="n">
        <f aca="false">Theory_Rev!E69</f>
        <v>3.15579340301161</v>
      </c>
      <c r="F145" s="199" t="n">
        <f aca="false">Theory_Rev!F69</f>
        <v>7.44145667008259</v>
      </c>
      <c r="G145" s="199" t="n">
        <f aca="false">Theory_Rev!G69</f>
        <v>7.44145667008259</v>
      </c>
      <c r="H145" s="199" t="n">
        <f aca="false">Theory_Rev!H69</f>
        <v>7.44145667008259</v>
      </c>
      <c r="I145" s="199" t="n">
        <f aca="false">Theory_Rev!I69</f>
        <v>9.68799677447089</v>
      </c>
      <c r="J145" s="199" t="n">
        <f aca="false">Theory_Rev!J69</f>
        <v>9.68799677447089</v>
      </c>
      <c r="K145" s="199" t="n">
        <f aca="false">Theory_Rev!K69</f>
        <v>9.68799677447089</v>
      </c>
      <c r="L145" s="199" t="n">
        <f aca="false">Theory_Rev!L69</f>
        <v>17.9718572818009</v>
      </c>
      <c r="M145" s="199" t="n">
        <f aca="false">Theory_Rev!M69</f>
        <v>17.9718572818009</v>
      </c>
      <c r="N145" s="199" t="n">
        <f aca="false">Theory_Rev!N69</f>
        <v>17.9718572818009</v>
      </c>
      <c r="O145" s="199" t="n">
        <f aca="false">Theory_Rev!O69</f>
        <v>25.4241242392166</v>
      </c>
      <c r="P145" s="199" t="n">
        <f aca="false">Theory_Rev!P69</f>
        <v>25.4241242392166</v>
      </c>
      <c r="Q145" s="199" t="n">
        <f aca="false">Theory_Rev!Q69</f>
        <v>25.4241242392166</v>
      </c>
      <c r="R145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2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2455</v>
      </c>
      <c r="U145" s="42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53" t="s">
        <v>2565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2" t="s">
        <v>2567</v>
      </c>
      <c r="B146" s="28" t="s">
        <v>1814</v>
      </c>
      <c r="C146" s="199" t="str">
        <f aca="false">Theory_Rev!C70</f>
        <v>SLO 不可達</v>
      </c>
      <c r="D146" s="199" t="str">
        <f aca="false">Theory_Rev!D70</f>
        <v>SLO 不可達</v>
      </c>
      <c r="E146" s="199" t="str">
        <f aca="false">Theory_Rev!E70</f>
        <v>SLO 不可達</v>
      </c>
      <c r="F146" s="199" t="n">
        <f aca="false">Theory_Rev!F70</f>
        <v>11.9496842913752</v>
      </c>
      <c r="G146" s="199" t="n">
        <f aca="false">Theory_Rev!G70</f>
        <v>11.9496842913752</v>
      </c>
      <c r="H146" s="199" t="n">
        <f aca="false">Theory_Rev!H70</f>
        <v>11.9496842913752</v>
      </c>
      <c r="I146" s="199" t="n">
        <f aca="false">Theory_Rev!I70</f>
        <v>15.5572367082672</v>
      </c>
      <c r="J146" s="199" t="n">
        <f aca="false">Theory_Rev!J70</f>
        <v>15.5572367082672</v>
      </c>
      <c r="K146" s="199" t="n">
        <f aca="false">Theory_Rev!K70</f>
        <v>15.5572367082672</v>
      </c>
      <c r="L146" s="199" t="n">
        <f aca="false">Theory_Rev!L70</f>
        <v>28.8596749492046</v>
      </c>
      <c r="M146" s="199" t="n">
        <f aca="false">Theory_Rev!M70</f>
        <v>28.8596749492046</v>
      </c>
      <c r="N146" s="199" t="n">
        <f aca="false">Theory_Rev!N70</f>
        <v>28.8596749492046</v>
      </c>
      <c r="O146" s="199" t="n">
        <f aca="false">Theory_Rev!O70</f>
        <v>40.8267186806004</v>
      </c>
      <c r="P146" s="199" t="n">
        <f aca="false">Theory_Rev!P70</f>
        <v>40.8267186806004</v>
      </c>
      <c r="Q146" s="199" t="n">
        <f aca="false">Theory_Rev!Q70</f>
        <v>40.8267186806004</v>
      </c>
      <c r="R146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2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2455</v>
      </c>
      <c r="U146" s="42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53" t="s">
        <v>2565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2" t="s">
        <v>2568</v>
      </c>
      <c r="B147" s="28" t="s">
        <v>1814</v>
      </c>
      <c r="C147" s="197" t="n">
        <f aca="false">Theory_Rev!C71</f>
        <v>3.2960508875899</v>
      </c>
      <c r="D147" s="197" t="n">
        <f aca="false">Theory_Rev!D71</f>
        <v>3.2960508875899</v>
      </c>
      <c r="E147" s="197" t="n">
        <f aca="false">Theory_Rev!E71</f>
        <v>3.2960508875899</v>
      </c>
      <c r="F147" s="197" t="n">
        <f aca="false">Theory_Rev!F71</f>
        <v>19.7218723690171</v>
      </c>
      <c r="G147" s="197" t="n">
        <f aca="false">Theory_Rev!G71</f>
        <v>19.7218723690171</v>
      </c>
      <c r="H147" s="197" t="n">
        <f aca="false">Theory_Rev!H71</f>
        <v>19.7218723690171</v>
      </c>
      <c r="I147" s="197" t="n">
        <f aca="false">Theory_Rev!I71</f>
        <v>25.6758111171591</v>
      </c>
      <c r="J147" s="197" t="n">
        <f aca="false">Theory_Rev!J71</f>
        <v>25.6758111171591</v>
      </c>
      <c r="K147" s="197" t="n">
        <f aca="false">Theory_Rev!K71</f>
        <v>25.6758111171591</v>
      </c>
      <c r="L147" s="197" t="n">
        <f aca="false">Theory_Rev!L71</f>
        <v>47.6302814435299</v>
      </c>
      <c r="M147" s="197" t="n">
        <f aca="false">Theory_Rev!M71</f>
        <v>47.6302814435299</v>
      </c>
      <c r="N147" s="197" t="n">
        <f aca="false">Theory_Rev!N71</f>
        <v>47.6302814435299</v>
      </c>
      <c r="O147" s="197" t="n">
        <f aca="false">Theory_Rev!O71</f>
        <v>67.3808039971155</v>
      </c>
      <c r="P147" s="197" t="n">
        <f aca="false">Theory_Rev!P71</f>
        <v>67.3808039971155</v>
      </c>
      <c r="Q147" s="197" t="n">
        <f aca="false">Theory_Rev!Q71</f>
        <v>67.3808039971155</v>
      </c>
      <c r="R147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2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2455</v>
      </c>
      <c r="U147" s="42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53" t="s">
        <v>2565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2" t="s">
        <v>2569</v>
      </c>
      <c r="B148" s="28" t="s">
        <v>99</v>
      </c>
      <c r="C148" s="200" t="n">
        <f aca="false">B4_Serve</f>
        <v>0.41</v>
      </c>
      <c r="R148" s="177" t="str">
        <f aca="false">IF(SUM(Gov_Map!$AG$457)&gt;0,"C",IF(SUM(Gov_Map!$AH$457)&gt;0,"B","A"))</f>
        <v>B</v>
      </c>
      <c r="S148" s="42" t="str">
        <f aca="false">IF(R148="—","—",IF(R148="A","基準輸入",IF(R148="B","情境、相對比較、反轉門檻","探索")))</f>
        <v>情境、相對比較、反轉門檻</v>
      </c>
      <c r="T148" s="28" t="s">
        <v>620</v>
      </c>
      <c r="U148" s="42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3" t="s">
        <v>2570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2" t="s">
        <v>2571</v>
      </c>
      <c r="B149" s="28" t="s">
        <v>99</v>
      </c>
      <c r="C149" s="200" t="n">
        <f aca="false">B4_Free</f>
        <v>0.46</v>
      </c>
      <c r="R149" s="177" t="str">
        <f aca="false">IF(SUM(Gov_Map!$AG$459)&gt;0,"C",IF(SUM(Gov_Map!$AH$459)&gt;0,"B","A"))</f>
        <v>B</v>
      </c>
      <c r="S149" s="42" t="str">
        <f aca="false">IF(R149="—","—",IF(R149="A","基準輸入",IF(R149="B","情境、相對比較、反轉門檻","探索")))</f>
        <v>情境、相對比較、反轉門檻</v>
      </c>
      <c r="T149" s="28" t="s">
        <v>620</v>
      </c>
      <c r="U149" s="42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3" t="s">
        <v>2572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1" t="s">
        <v>2573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2574</v>
      </c>
      <c r="C152" s="166" t="str">
        <f aca="false">Workload!C4</f>
        <v>一般聊天</v>
      </c>
      <c r="D152" s="166" t="str">
        <f aca="false">Workload!D4</f>
        <v>推理聊天</v>
      </c>
      <c r="E152" s="166" t="str">
        <f aca="false">Workload!E4</f>
        <v>單代理（工具迴圈）</v>
      </c>
      <c r="F152" s="166" t="str">
        <f aca="false">Workload!F4</f>
        <v>多代理研究</v>
      </c>
      <c r="G152" s="166" t="str">
        <f aca="false">Workload!G4</f>
        <v>Coding agent（長程）</v>
      </c>
      <c r="R152" s="53" t="s">
        <v>2575</v>
      </c>
      <c r="S152" s="28" t="s">
        <v>620</v>
      </c>
      <c r="T152" s="28" t="s">
        <v>620</v>
      </c>
      <c r="U152" s="28" t="s">
        <v>620</v>
      </c>
    </row>
    <row r="153" customFormat="false" ht="15" hidden="false" customHeight="true" outlineLevel="0" collapsed="false">
      <c r="A153" s="28" t="s">
        <v>2576</v>
      </c>
      <c r="B153" s="28" t="s">
        <v>103</v>
      </c>
      <c r="C153" s="201" t="n">
        <f aca="false">B5_W</f>
        <v>0</v>
      </c>
      <c r="R153" s="177" t="str">
        <f aca="false">IF(SUM(Gov_Map!$AG$521:$AG$522)&gt;0,"C",IF(SUM(Gov_Map!$AH$521:$AH$522)&gt;0,"B","A"))</f>
        <v>A</v>
      </c>
      <c r="S153" s="42" t="str">
        <f aca="false">IF(R153="—","—",IF(R153="A","基準輸入",IF(R153="B","情境、相對比較、反轉門檻","探索")))</f>
        <v>基準輸入</v>
      </c>
      <c r="T153" s="28" t="s">
        <v>620</v>
      </c>
      <c r="U153" s="42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3" t="s">
        <v>2577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2" t="s">
        <v>2578</v>
      </c>
      <c r="B154" s="42"/>
      <c r="C154" s="42" t="str">
        <f aca="false">B5_ProfileName</f>
        <v>供應商原生增強（保留推理狀態＋上下文壓縮）</v>
      </c>
      <c r="R154" s="177" t="str">
        <f aca="false">IF(SUM(Gov_Map!$AG$483)&gt;0,"C",IF(SUM(Gov_Map!$AH$483)&gt;0,"B","A"))</f>
        <v>A</v>
      </c>
      <c r="S154" s="42" t="str">
        <f aca="false">IF(R154="—","—",IF(R154="A","基準輸入",IF(R154="B","情境、相對比較、反轉門檻","探索")))</f>
        <v>基準輸入</v>
      </c>
      <c r="T154" s="28" t="s">
        <v>620</v>
      </c>
      <c r="U154" s="42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3" t="s">
        <v>2492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2" t="s">
        <v>2579</v>
      </c>
      <c r="B155" s="28" t="s">
        <v>1163</v>
      </c>
      <c r="C155" s="201" t="n">
        <f aca="false">INDEX(B5_TaskLen,1,1)</f>
        <v>0.02</v>
      </c>
      <c r="D155" s="201" t="n">
        <f aca="false">INDEX(B5_TaskLen,1,2)</f>
        <v>0.1</v>
      </c>
      <c r="E155" s="201" t="n">
        <f aca="false">INDEX(B5_TaskLen,1,3)</f>
        <v>0.5</v>
      </c>
      <c r="F155" s="201" t="n">
        <f aca="false">INDEX(B5_TaskLen,1,4)</f>
        <v>2</v>
      </c>
      <c r="G155" s="201" t="n">
        <f aca="false">INDEX(B5_TaskLen,1,5)</f>
        <v>8</v>
      </c>
      <c r="R155" s="177" t="str">
        <f aca="false">IF(SUM(Gov_Map!$AG$508)&gt;0,"C",IF(SUM(Gov_Map!$AH$508)&gt;0,"B","A"))</f>
        <v>A</v>
      </c>
      <c r="S155" s="42" t="str">
        <f aca="false">IF(R155="—","—",IF(R155="A","基準輸入",IF(R155="B","情境、相對比較、反轉門檻","探索")))</f>
        <v>基準輸入</v>
      </c>
      <c r="T155" s="28" t="s">
        <v>620</v>
      </c>
      <c r="U155" s="42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3" t="s">
        <v>2492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2" t="s">
        <v>2580</v>
      </c>
      <c r="B156" s="28" t="s">
        <v>292</v>
      </c>
      <c r="C156" s="47" t="n">
        <f aca="false">Harness!C41</f>
        <v>1500</v>
      </c>
      <c r="D156" s="47" t="n">
        <f aca="false">Harness!D41</f>
        <v>1500</v>
      </c>
      <c r="E156" s="47" t="n">
        <f aca="false">Harness!E41</f>
        <v>6840</v>
      </c>
      <c r="F156" s="47" t="n">
        <f aca="false">Harness!F41</f>
        <v>27360</v>
      </c>
      <c r="G156" s="47" t="n">
        <f aca="false">Harness!G41</f>
        <v>200400</v>
      </c>
      <c r="R156" s="17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2" t="str">
        <f aca="false">IF(R156="—","—",IF(R156="A","基準輸入",IF(R156="B","情境、相對比較、反轉門檻","探索")))</f>
        <v>情境、相對比較、反轉門檻</v>
      </c>
      <c r="T156" s="28" t="s">
        <v>620</v>
      </c>
      <c r="U156" s="42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MAX(Gov_Map!$AJ$255:$AJ$304,Gov_Map!$AJ$483,Gov_Map!$AJ$485:$AJ$490,Gov_Map!$AJ$494:$AJ$498,Gov_Map!$AJ$502,Gov_Map!$AJ$521:$AJ$522,Gov_Map!$AJ$659)</f>
        <v>0</v>
      </c>
      <c r="W156" s="53" t="s">
        <v>2581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2" t="s">
        <v>2582</v>
      </c>
      <c r="B157" s="28" t="s">
        <v>292</v>
      </c>
      <c r="C157" s="47" t="n">
        <f aca="false">Harness!C42</f>
        <v>1000</v>
      </c>
      <c r="D157" s="47" t="n">
        <f aca="false">Harness!D42</f>
        <v>1000</v>
      </c>
      <c r="E157" s="47" t="n">
        <f aca="false">Harness!E42</f>
        <v>18360</v>
      </c>
      <c r="F157" s="47" t="n">
        <f aca="false">Harness!F42</f>
        <v>73440</v>
      </c>
      <c r="G157" s="47" t="n">
        <f aca="false">Harness!G42</f>
        <v>1263600</v>
      </c>
      <c r="R157" s="17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2" t="str">
        <f aca="false">IF(R157="—","—",IF(R157="A","基準輸入",IF(R157="B","情境、相對比較、反轉門檻","探索")))</f>
        <v>情境、相對比較、反轉門檻</v>
      </c>
      <c r="T157" s="28" t="s">
        <v>620</v>
      </c>
      <c r="U157" s="42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MAX(Gov_Map!$AJ$255:$AJ$304,Gov_Map!$AJ$483,Gov_Map!$AJ$485:$AJ$490,Gov_Map!$AJ$494:$AJ$498,Gov_Map!$AJ$502,Gov_Map!$AJ$521:$AJ$522,Gov_Map!$AJ$659)</f>
        <v>0</v>
      </c>
      <c r="W157" s="53" t="s">
        <v>2581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2" t="s">
        <v>2583</v>
      </c>
      <c r="B158" s="28" t="s">
        <v>292</v>
      </c>
      <c r="C158" s="47" t="n">
        <f aca="false">Harness!C43</f>
        <v>500</v>
      </c>
      <c r="D158" s="47" t="n">
        <f aca="false">Harness!D43</f>
        <v>3700</v>
      </c>
      <c r="E158" s="47" t="n">
        <f aca="false">Harness!E43</f>
        <v>2400</v>
      </c>
      <c r="F158" s="47" t="n">
        <f aca="false">Harness!F43</f>
        <v>9600</v>
      </c>
      <c r="G158" s="47" t="n">
        <f aca="false">Harness!G43</f>
        <v>30000</v>
      </c>
      <c r="R158" s="177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2" t="str">
        <f aca="false">IF(R158="—","—",IF(R158="A","基準輸入",IF(R158="B","情境、相對比較、反轉門檻","探索")))</f>
        <v>情境、相對比較、反轉門檻</v>
      </c>
      <c r="T158" s="28" t="s">
        <v>620</v>
      </c>
      <c r="U158" s="42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53" t="s">
        <v>2584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2" t="s">
        <v>2585</v>
      </c>
      <c r="B159" s="28" t="s">
        <v>292</v>
      </c>
      <c r="C159" s="47" t="n">
        <f aca="false">Harness!C38</f>
        <v>3000</v>
      </c>
      <c r="D159" s="47" t="n">
        <f aca="false">Harness!D38</f>
        <v>6200</v>
      </c>
      <c r="E159" s="47" t="n">
        <f aca="false">Harness!E38</f>
        <v>16250.08</v>
      </c>
      <c r="F159" s="47" t="n">
        <f aca="false">Harness!F38</f>
        <v>65000.32</v>
      </c>
      <c r="G159" s="47" t="n">
        <f aca="false">Harness!G38</f>
        <v>735840</v>
      </c>
      <c r="R159" s="177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2" t="str">
        <f aca="false">IF(R159="—","—",IF(R159="A","基準輸入",IF(R159="B","情境、相對比較、反轉門檻","探索")))</f>
        <v>情境、相對比較、反轉門檻</v>
      </c>
      <c r="T159" s="28" t="s">
        <v>620</v>
      </c>
      <c r="U159" s="42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53" t="s">
        <v>2586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2" t="s">
        <v>2587</v>
      </c>
      <c r="B160" s="28" t="s">
        <v>103</v>
      </c>
      <c r="C160" s="185" t="n">
        <f aca="false">Harness!C45</f>
        <v>1</v>
      </c>
      <c r="D160" s="185" t="n">
        <f aca="false">Harness!D45</f>
        <v>1</v>
      </c>
      <c r="E160" s="185" t="n">
        <f aca="false">Harness!E45</f>
        <v>0.588771014492754</v>
      </c>
      <c r="F160" s="185" t="n">
        <f aca="false">Harness!F45</f>
        <v>0.588771014492754</v>
      </c>
      <c r="G160" s="185" t="n">
        <f aca="false">Harness!G45</f>
        <v>0.492530120481928</v>
      </c>
      <c r="R160" s="177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2" t="str">
        <f aca="false">IF(R160="—","—",IF(R160="A","基準輸入",IF(R160="B","情境、相對比較、反轉門檻","探索")))</f>
        <v>情境、相對比較、反轉門檻</v>
      </c>
      <c r="T160" s="28" t="s">
        <v>620</v>
      </c>
      <c r="U160" s="42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MAX(Gov_Map!$AJ$255:$AJ$304,Gov_Map!$AJ$483,Gov_Map!$AJ$485:$AJ$490,Gov_Map!$AJ$494:$AJ$498,Gov_Map!$AJ$502,Gov_Map!$AJ$659)</f>
        <v>0</v>
      </c>
      <c r="W160" s="53" t="s">
        <v>2588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262</v>
      </c>
    </row>
    <row r="162" customFormat="false" ht="15" hidden="false" customHeight="true" outlineLevel="0" collapsed="false">
      <c r="A162" s="42" t="s">
        <v>2589</v>
      </c>
      <c r="B162" s="28" t="s">
        <v>99</v>
      </c>
      <c r="C162" s="189" t="n">
        <f aca="false">Harness!C57</f>
        <v>0.962243725044712</v>
      </c>
      <c r="D162" s="189" t="n">
        <f aca="false">Harness!D57</f>
        <v>0.884017511243649</v>
      </c>
      <c r="E162" s="189" t="n">
        <f aca="false">Harness!E57</f>
        <v>0.695076124968439</v>
      </c>
      <c r="F162" s="189" t="n">
        <f aca="false">Harness!F57</f>
        <v>0.446267899285204</v>
      </c>
      <c r="G162" s="189" t="n">
        <f aca="false">Harness!G57</f>
        <v>0.221752565013566</v>
      </c>
      <c r="R162" s="17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2" t="str">
        <f aca="false">IF(R162="—","—",IF(R162="A","基準輸入",IF(R162="B","情境、相對比較、反轉門檻","探索")))</f>
        <v>基準輸入</v>
      </c>
      <c r="T162" s="28" t="s">
        <v>620</v>
      </c>
      <c r="U162" s="42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3" t="s">
        <v>2590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2" t="s">
        <v>2591</v>
      </c>
      <c r="B163" s="28" t="s">
        <v>99</v>
      </c>
      <c r="C163" s="189" t="n">
        <f aca="false">Harness!C58</f>
        <v>0.962243725044712</v>
      </c>
      <c r="D163" s="189" t="n">
        <f aca="false">Harness!D58</f>
        <v>0.884017511243649</v>
      </c>
      <c r="E163" s="189" t="n">
        <f aca="false">Harness!E58</f>
        <v>0.723262011773013</v>
      </c>
      <c r="F163" s="189" t="n">
        <f aca="false">Harness!F58</f>
        <v>0.575444203093429</v>
      </c>
      <c r="G163" s="189" t="n">
        <f aca="false">Harness!G58</f>
        <v>0.323962245896112</v>
      </c>
      <c r="R163" s="17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2" t="str">
        <f aca="false">IF(R163="—","—",IF(R163="A","基準輸入",IF(R163="B","情境、相對比較、反轉門檻","探索")))</f>
        <v>基準輸入</v>
      </c>
      <c r="T163" s="28" t="s">
        <v>620</v>
      </c>
      <c r="U163" s="42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3" t="s">
        <v>2592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2" t="s">
        <v>2593</v>
      </c>
      <c r="B164" s="28" t="s">
        <v>435</v>
      </c>
      <c r="C164" s="202" t="n">
        <f aca="false">Harness!C88</f>
        <v>0.000102418941208421</v>
      </c>
      <c r="D164" s="202" t="n">
        <f aca="false">Harness!D88</f>
        <v>0.000736788526866689</v>
      </c>
      <c r="E164" s="202" t="n">
        <f aca="false">Harness!E88</f>
        <v>0.000677859629711026</v>
      </c>
      <c r="F164" s="202" t="n">
        <f aca="false">Harness!F88</f>
        <v>0.00422314977569979</v>
      </c>
      <c r="G164" s="202" t="n">
        <f aca="false">Harness!G88</f>
        <v>0.0310910558058847</v>
      </c>
      <c r="R164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2" t="str">
        <f aca="false">IF(R164="—","—",IF(R164="A","基準輸入",IF(R164="B","情境、相對比較、反轉門檻","探索")))</f>
        <v>情境、相對比較、反轉門檻</v>
      </c>
      <c r="T164" s="28" t="s">
        <v>2455</v>
      </c>
      <c r="U164" s="42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53" t="s">
        <v>2594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2" t="s">
        <v>2595</v>
      </c>
      <c r="B165" s="28" t="s">
        <v>435</v>
      </c>
      <c r="C165" s="203" t="n">
        <f aca="false">Harness!C97</f>
        <v>0.000134816391831662</v>
      </c>
      <c r="D165" s="203" t="n">
        <f aca="false">Harness!D97</f>
        <v>0.000976510141922234</v>
      </c>
      <c r="E165" s="203" t="n">
        <f aca="false">Harness!E97</f>
        <v>0.000891554068947909</v>
      </c>
      <c r="F165" s="203" t="n">
        <f aca="false">Harness!F97</f>
        <v>0.00555449270213466</v>
      </c>
      <c r="G165" s="203" t="n">
        <f aca="false">Harness!G97</f>
        <v>0.0403522349522336</v>
      </c>
      <c r="R165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2" t="str">
        <f aca="false">IF(R165="—","—",IF(R165="A","基準輸入",IF(R165="B","情境、相對比較、反轉門檻","探索")))</f>
        <v>情境、相對比較、反轉門檻</v>
      </c>
      <c r="T165" s="28" t="s">
        <v>620</v>
      </c>
      <c r="U165" s="42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53" t="s">
        <v>2596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2" t="s">
        <v>2597</v>
      </c>
      <c r="B166" s="28" t="s">
        <v>435</v>
      </c>
      <c r="C166" s="203" t="n">
        <f aca="false">Harness!C126</f>
        <v>0.000340869980715914</v>
      </c>
      <c r="D166" s="203" t="n">
        <f aca="false">Harness!D126</f>
        <v>0.00181896849275965</v>
      </c>
      <c r="E166" s="203" t="n">
        <f aca="false">Harness!E126</f>
        <v>0.00237971056778149</v>
      </c>
      <c r="F166" s="203" t="n">
        <f aca="false">Harness!F126</f>
        <v>0.0148258927218325</v>
      </c>
      <c r="G166" s="203" t="n">
        <f aca="false">Harness!G126</f>
        <v>0.171997108568582</v>
      </c>
      <c r="R166" s="17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2" t="str">
        <f aca="false">IF(R166="—","—",IF(R166="A","基準輸入",IF(R166="B","情境、相對比較、反轉門檻","探索")))</f>
        <v>情境、相對比較、反轉門檻</v>
      </c>
      <c r="T166" s="28" t="s">
        <v>620</v>
      </c>
      <c r="U166" s="42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53" t="s">
        <v>2598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2599</v>
      </c>
      <c r="B167" s="28" t="s">
        <v>103</v>
      </c>
      <c r="C167" s="185" t="n">
        <f aca="false">Harness!C136</f>
        <v>1</v>
      </c>
      <c r="D167" s="185" t="n">
        <f aca="false">Harness!D136</f>
        <v>1</v>
      </c>
      <c r="E167" s="185" t="n">
        <f aca="false">Harness!E136</f>
        <v>0.590682621670942</v>
      </c>
      <c r="F167" s="185" t="n">
        <f aca="false">Harness!F136</f>
        <v>0.476661314845622</v>
      </c>
      <c r="G167" s="185" t="n">
        <f aca="false">Harness!G136</f>
        <v>0.41488270725697</v>
      </c>
      <c r="R167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2" t="str">
        <f aca="false">IF(R167="—","—",IF(R167="A","基準輸入",IF(R167="B","情境、相對比較、反轉門檻","探索")))</f>
        <v>情境、相對比較、反轉門檻</v>
      </c>
      <c r="T167" s="28" t="s">
        <v>620</v>
      </c>
      <c r="U167" s="42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53" t="s">
        <v>2594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263</v>
      </c>
    </row>
    <row r="169" customFormat="false" ht="15" hidden="false" customHeight="true" outlineLevel="0" collapsed="false">
      <c r="A169" s="42" t="s">
        <v>2600</v>
      </c>
      <c r="B169" s="28" t="s">
        <v>99</v>
      </c>
      <c r="C169" s="189" t="n">
        <f aca="false">Harness!C60</f>
        <v>0.988943278022254</v>
      </c>
      <c r="D169" s="189" t="n">
        <f aca="false">Harness!D60</f>
        <v>0.963963460360214</v>
      </c>
      <c r="E169" s="189" t="n">
        <f aca="false">Harness!E60</f>
        <v>0.888888888888889</v>
      </c>
      <c r="F169" s="189" t="n">
        <f aca="false">Harness!F60</f>
        <v>0.738796125036259</v>
      </c>
      <c r="G169" s="189" t="n">
        <f aca="false">Harness!G60</f>
        <v>0.5</v>
      </c>
      <c r="R169" s="17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2" t="str">
        <f aca="false">IF(R169="—","—",IF(R169="A","基準輸入",IF(R169="B","情境、相對比較、反轉門檻","探索")))</f>
        <v>基準輸入</v>
      </c>
      <c r="T169" s="28" t="s">
        <v>620</v>
      </c>
      <c r="U169" s="42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3" t="s">
        <v>2590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2" t="s">
        <v>2601</v>
      </c>
      <c r="B170" s="28" t="s">
        <v>99</v>
      </c>
      <c r="C170" s="189" t="n">
        <f aca="false">Harness!C61</f>
        <v>0.988943278022254</v>
      </c>
      <c r="D170" s="189" t="n">
        <f aca="false">Harness!D61</f>
        <v>0.963963460360214</v>
      </c>
      <c r="E170" s="189" t="n">
        <f aca="false">Harness!E61</f>
        <v>0.901693340131513</v>
      </c>
      <c r="F170" s="189" t="n">
        <f aca="false">Harness!F61</f>
        <v>0.826293243415818</v>
      </c>
      <c r="G170" s="189" t="n">
        <f aca="false">Harness!G61</f>
        <v>0.627115119175411</v>
      </c>
      <c r="R170" s="17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2" t="str">
        <f aca="false">IF(R170="—","—",IF(R170="A","基準輸入",IF(R170="B","情境、相對比較、反轉門檻","探索")))</f>
        <v>基準輸入</v>
      </c>
      <c r="T170" s="28" t="s">
        <v>620</v>
      </c>
      <c r="U170" s="42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3" t="s">
        <v>2592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2" t="s">
        <v>2602</v>
      </c>
      <c r="B171" s="28" t="s">
        <v>435</v>
      </c>
      <c r="C171" s="202" t="n">
        <f aca="false">Harness!C91</f>
        <v>0.000320037803771877</v>
      </c>
      <c r="D171" s="202" t="n">
        <f aca="false">Harness!D91</f>
        <v>0.00215001015603622</v>
      </c>
      <c r="E171" s="202" t="n">
        <f aca="false">Harness!E91</f>
        <v>0.00169937973226251</v>
      </c>
      <c r="F171" s="202" t="n">
        <f aca="false">Harness!F91</f>
        <v>0.00817849315025566</v>
      </c>
      <c r="G171" s="202" t="n">
        <f aca="false">Harness!G91</f>
        <v>0.0444209347764536</v>
      </c>
      <c r="R171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2" t="str">
        <f aca="false">IF(R171="—","—",IF(R171="A","基準輸入",IF(R171="B","情境、相對比較、反轉門檻","探索")))</f>
        <v>情境、相對比較、反轉門檻</v>
      </c>
      <c r="T171" s="28" t="s">
        <v>2455</v>
      </c>
      <c r="U171" s="42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53" t="s">
        <v>2594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2" t="s">
        <v>2603</v>
      </c>
      <c r="B172" s="28" t="s">
        <v>435</v>
      </c>
      <c r="C172" s="203" t="n">
        <f aca="false">Harness!C100</f>
        <v>0.000456557468166472</v>
      </c>
      <c r="D172" s="203" t="n">
        <f aca="false">Harness!D100</f>
        <v>0.00311845448138764</v>
      </c>
      <c r="E172" s="203" t="n">
        <f aca="false">Harness!E100</f>
        <v>0.00242503421880443</v>
      </c>
      <c r="F172" s="203" t="n">
        <f aca="false">Harness!F100</f>
        <v>0.0116708028059287</v>
      </c>
      <c r="G172" s="203" t="n">
        <f aca="false">Harness!G100</f>
        <v>0.0620367720769959</v>
      </c>
      <c r="R172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2" t="str">
        <f aca="false">IF(R172="—","—",IF(R172="A","基準輸入",IF(R172="B","情境、相對比較、反轉門檻","探索")))</f>
        <v>情境、相對比較、反轉門檻</v>
      </c>
      <c r="T172" s="28" t="s">
        <v>620</v>
      </c>
      <c r="U172" s="42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53" t="s">
        <v>2596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2" t="s">
        <v>2604</v>
      </c>
      <c r="B173" s="28" t="s">
        <v>435</v>
      </c>
      <c r="C173" s="203" t="n">
        <f aca="false">Harness!C129</f>
        <v>0.00663334302966199</v>
      </c>
      <c r="D173" s="203" t="n">
        <f aca="false">Harness!D129</f>
        <v>0.0333622604201019</v>
      </c>
      <c r="E173" s="203" t="n">
        <f aca="false">Harness!E129</f>
        <v>0.0372168</v>
      </c>
      <c r="F173" s="203" t="n">
        <f aca="false">Harness!F129</f>
        <v>0.179110847385002</v>
      </c>
      <c r="G173" s="203" t="n">
        <f aca="false">Harness!G129</f>
        <v>1.525632</v>
      </c>
      <c r="R173" s="17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2" t="str">
        <f aca="false">IF(R173="—","—",IF(R173="A","基準輸入",IF(R173="B","情境、相對比較、反轉門檻","探索")))</f>
        <v>情境、相對比較、反轉門檻</v>
      </c>
      <c r="T173" s="28" t="s">
        <v>620</v>
      </c>
      <c r="U173" s="42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53" t="s">
        <v>2598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2605</v>
      </c>
      <c r="B174" s="28" t="s">
        <v>103</v>
      </c>
      <c r="C174" s="185" t="n">
        <f aca="false">Harness!C137</f>
        <v>1</v>
      </c>
      <c r="D174" s="185" t="n">
        <f aca="false">Harness!D137</f>
        <v>1</v>
      </c>
      <c r="E174" s="185" t="n">
        <f aca="false">Harness!E137</f>
        <v>0.605351415659953</v>
      </c>
      <c r="F174" s="185" t="n">
        <f aca="false">Harness!F137</f>
        <v>0.549046786720249</v>
      </c>
      <c r="G174" s="185" t="n">
        <f aca="false">Harness!G137</f>
        <v>0.4793958062764</v>
      </c>
      <c r="R174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2" t="str">
        <f aca="false">IF(R174="—","—",IF(R174="A","基準輸入",IF(R174="B","情境、相對比較、反轉門檻","探索")))</f>
        <v>情境、相對比較、反轉門檻</v>
      </c>
      <c r="T174" s="28" t="s">
        <v>620</v>
      </c>
      <c r="U174" s="42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53" t="s">
        <v>2594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264</v>
      </c>
    </row>
    <row r="176" customFormat="false" ht="15" hidden="false" customHeight="true" outlineLevel="0" collapsed="false">
      <c r="A176" s="42" t="s">
        <v>2606</v>
      </c>
      <c r="B176" s="28" t="s">
        <v>99</v>
      </c>
      <c r="C176" s="189" t="n">
        <f aca="false">Harness!C63</f>
        <v>0.993396032445753</v>
      </c>
      <c r="D176" s="189" t="n">
        <f aca="false">Harness!D63</f>
        <v>0.978254868861662</v>
      </c>
      <c r="E176" s="189" t="n">
        <f aca="false">Harness!E63</f>
        <v>0.930816639357101</v>
      </c>
      <c r="F176" s="189" t="n">
        <f aca="false">Harness!F63</f>
        <v>0.826293243415818</v>
      </c>
      <c r="G176" s="189" t="n">
        <f aca="false">Harness!G63</f>
        <v>0.627115119175411</v>
      </c>
      <c r="R176" s="17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2" t="str">
        <f aca="false">IF(R176="—","—",IF(R176="A","基準輸入",IF(R176="B","情境、相對比較、反轉門檻","探索")))</f>
        <v>基準輸入</v>
      </c>
      <c r="T176" s="28" t="s">
        <v>620</v>
      </c>
      <c r="U176" s="42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3" t="s">
        <v>2590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2" t="s">
        <v>2607</v>
      </c>
      <c r="B177" s="28" t="s">
        <v>99</v>
      </c>
      <c r="C177" s="189" t="n">
        <f aca="false">Harness!C64</f>
        <v>0.993396032445753</v>
      </c>
      <c r="D177" s="189" t="n">
        <f aca="false">Harness!D64</f>
        <v>0.978254868861662</v>
      </c>
      <c r="E177" s="189" t="n">
        <f aca="false">Harness!E64</f>
        <v>0.939120259663704</v>
      </c>
      <c r="F177" s="189" t="n">
        <f aca="false">Harness!F64</f>
        <v>0.888888888888889</v>
      </c>
      <c r="G177" s="189" t="n">
        <f aca="false">Harness!G64</f>
        <v>0.738796125036259</v>
      </c>
      <c r="R177" s="17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2" t="str">
        <f aca="false">IF(R177="—","—",IF(R177="A","基準輸入",IF(R177="B","情境、相對比較、反轉門檻","探索")))</f>
        <v>基準輸入</v>
      </c>
      <c r="T177" s="28" t="s">
        <v>620</v>
      </c>
      <c r="U177" s="42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3" t="s">
        <v>2592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2" t="s">
        <v>2608</v>
      </c>
      <c r="B178" s="28" t="s">
        <v>435</v>
      </c>
      <c r="C178" s="202" t="n">
        <f aca="false">Harness!C94</f>
        <v>0.00157160157133891</v>
      </c>
      <c r="D178" s="202" t="n">
        <f aca="false">Harness!D94</f>
        <v>0.0108878916138528</v>
      </c>
      <c r="E178" s="202" t="n">
        <f aca="false">Harness!E94</f>
        <v>0.00803749287272112</v>
      </c>
      <c r="F178" s="202" t="n">
        <f aca="false">Harness!F94</f>
        <v>0.03621683785633</v>
      </c>
      <c r="G178" s="202" t="n">
        <f aca="false">Harness!G94</f>
        <v>0.168703406327351</v>
      </c>
      <c r="R178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2" t="str">
        <f aca="false">IF(R178="—","—",IF(R178="A","基準輸入",IF(R178="B","情境、相對比較、反轉門檻","探索")))</f>
        <v>情境、相對比較、反轉門檻</v>
      </c>
      <c r="T178" s="28" t="s">
        <v>2455</v>
      </c>
      <c r="U178" s="42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53" t="s">
        <v>2594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2" t="s">
        <v>2609</v>
      </c>
      <c r="B179" s="28" t="s">
        <v>435</v>
      </c>
      <c r="C179" s="203" t="n">
        <f aca="false">Harness!C103</f>
        <v>0.00310142651340531</v>
      </c>
      <c r="D179" s="203" t="n">
        <f aca="false">Harness!D103</f>
        <v>0.0221645926254829</v>
      </c>
      <c r="E179" s="203" t="n">
        <f aca="false">Harness!E103</f>
        <v>0.0158568743601987</v>
      </c>
      <c r="F179" s="203" t="n">
        <f aca="false">Harness!F103</f>
        <v>0.0714508686608747</v>
      </c>
      <c r="G179" s="203" t="n">
        <f aca="false">Harness!G103</f>
        <v>0.316964897900962</v>
      </c>
      <c r="R179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2" t="str">
        <f aca="false">IF(R179="—","—",IF(R179="A","基準輸入",IF(R179="B","情境、相對比較、反轉門檻","探索")))</f>
        <v>情境、相對比較、反轉門檻</v>
      </c>
      <c r="T179" s="28" t="s">
        <v>620</v>
      </c>
      <c r="U179" s="42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53" t="s">
        <v>2596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2" t="s">
        <v>2610</v>
      </c>
      <c r="B180" s="28" t="s">
        <v>435</v>
      </c>
      <c r="C180" s="203" t="n">
        <f aca="false">Harness!C132</f>
        <v>0.0330180501317747</v>
      </c>
      <c r="D180" s="203" t="n">
        <f aca="false">Harness!D132</f>
        <v>0.164374341614178</v>
      </c>
      <c r="E180" s="203" t="n">
        <f aca="false">Harness!E132</f>
        <v>0.177702023154898</v>
      </c>
      <c r="F180" s="203" t="n">
        <f aca="false">Harness!F132</f>
        <v>0.800722994254286</v>
      </c>
      <c r="G180" s="203" t="n">
        <f aca="false">Harness!G132</f>
        <v>6.08194553659479</v>
      </c>
      <c r="R180" s="17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2" t="str">
        <f aca="false">IF(R180="—","—",IF(R180="A","基準輸入",IF(R180="B","情境、相對比較、反轉門檻","探索")))</f>
        <v>情境、相對比較、反轉門檻</v>
      </c>
      <c r="T180" s="28" t="s">
        <v>620</v>
      </c>
      <c r="U180" s="42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53" t="s">
        <v>2598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2611</v>
      </c>
      <c r="B181" s="28" t="s">
        <v>103</v>
      </c>
      <c r="C181" s="185" t="n">
        <f aca="false">Harness!C138</f>
        <v>1</v>
      </c>
      <c r="D181" s="185" t="n">
        <f aca="false">Harness!D138</f>
        <v>1</v>
      </c>
      <c r="E181" s="185" t="n">
        <f aca="false">Harness!E138</f>
        <v>0.60811339243541</v>
      </c>
      <c r="F181" s="185" t="n">
        <f aca="false">Harness!F138</f>
        <v>0.570332819404675</v>
      </c>
      <c r="G181" s="185" t="n">
        <f aca="false">Harness!G138</f>
        <v>0.519797101771478</v>
      </c>
      <c r="R181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2" t="str">
        <f aca="false">IF(R181="—","—",IF(R181="A","基準輸入",IF(R181="B","情境、相對比較、反轉門檻","探索")))</f>
        <v>情境、相對比較、反轉門檻</v>
      </c>
      <c r="T181" s="28" t="s">
        <v>620</v>
      </c>
      <c r="U181" s="42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53" t="s">
        <v>2594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2612</v>
      </c>
    </row>
    <row r="183" customFormat="false" ht="15" hidden="false" customHeight="true" outlineLevel="0" collapsed="false">
      <c r="A183" s="28" t="s">
        <v>2613</v>
      </c>
      <c r="B183" s="28" t="s">
        <v>435</v>
      </c>
      <c r="C183" s="203" t="n">
        <f aca="false">Harness!C68</f>
        <v>9.85519835035262E-005</v>
      </c>
      <c r="D183" s="203" t="n">
        <f aca="false">Harness!D68</f>
        <v>0.000651333959833564</v>
      </c>
      <c r="E183" s="203" t="n">
        <f aca="false">Harness!E68</f>
        <v>0.000471164044692081</v>
      </c>
      <c r="F183" s="203" t="n">
        <f aca="false">Harness!F68</f>
        <v>0.00188465617876833</v>
      </c>
      <c r="G183" s="203" t="n">
        <f aca="false">Harness!G68</f>
        <v>0.00689452137393487</v>
      </c>
      <c r="R183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2" t="str">
        <f aca="false">IF(R183="—","—",IF(R183="A","基準輸入",IF(R183="B","情境、相對比較、反轉門檻","探索")))</f>
        <v>情境、相對比較、反轉門檻</v>
      </c>
      <c r="T183" s="28" t="s">
        <v>2455</v>
      </c>
      <c r="U183" s="42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53" t="s">
        <v>2614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2615</v>
      </c>
      <c r="B184" s="28" t="s">
        <v>1163</v>
      </c>
      <c r="C184" s="185" t="n">
        <f aca="false">Harness!C160</f>
        <v>1.5</v>
      </c>
      <c r="D184" s="185" t="n">
        <f aca="false">Harness!D160</f>
        <v>1.5</v>
      </c>
      <c r="E184" s="185" t="n">
        <f aca="false">Harness!E160</f>
        <v>1.5</v>
      </c>
      <c r="F184" s="185" t="n">
        <f aca="false">Harness!F160</f>
        <v>1.5</v>
      </c>
      <c r="G184" s="185" t="n">
        <f aca="false">Harness!G160</f>
        <v>1.5</v>
      </c>
      <c r="R184" s="17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2" t="str">
        <f aca="false">IF(R184="—","—",IF(R184="A","基準輸入",IF(R184="B","情境、相對比較、反轉門檻","探索")))</f>
        <v>基準輸入</v>
      </c>
      <c r="T184" s="28" t="s">
        <v>620</v>
      </c>
      <c r="U184" s="42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3" t="s">
        <v>2592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2616</v>
      </c>
      <c r="B185" s="28" t="s">
        <v>435</v>
      </c>
      <c r="C185" s="203" t="n">
        <f aca="false">Harness!C71</f>
        <v>0.000316499234753203</v>
      </c>
      <c r="D185" s="203" t="n">
        <f aca="false">Harness!D71</f>
        <v>0.00207253122982228</v>
      </c>
      <c r="E185" s="203" t="n">
        <f aca="false">Harness!E71</f>
        <v>0.00151055976201112</v>
      </c>
      <c r="F185" s="203" t="n">
        <f aca="false">Harness!F71</f>
        <v>0.00604223904804447</v>
      </c>
      <c r="G185" s="203" t="n">
        <f aca="false">Harness!G71</f>
        <v>0.0222104673882268</v>
      </c>
      <c r="R185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2" t="str">
        <f aca="false">IF(R185="—","—",IF(R185="A","基準輸入",IF(R185="B","情境、相對比較、反轉門檻","探索")))</f>
        <v>情境、相對比較、反轉門檻</v>
      </c>
      <c r="T185" s="28" t="s">
        <v>2455</v>
      </c>
      <c r="U185" s="42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53" t="s">
        <v>2614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2617</v>
      </c>
      <c r="B186" s="28" t="s">
        <v>1163</v>
      </c>
      <c r="C186" s="185" t="n">
        <f aca="false">Harness!C161</f>
        <v>8</v>
      </c>
      <c r="D186" s="185" t="n">
        <f aca="false">Harness!D161</f>
        <v>8</v>
      </c>
      <c r="E186" s="185" t="n">
        <f aca="false">Harness!E161</f>
        <v>8</v>
      </c>
      <c r="F186" s="185" t="n">
        <f aca="false">Harness!F161</f>
        <v>8</v>
      </c>
      <c r="G186" s="185" t="n">
        <f aca="false">Harness!G161</f>
        <v>8</v>
      </c>
      <c r="R186" s="17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2" t="str">
        <f aca="false">IF(R186="—","—",IF(R186="A","基準輸入",IF(R186="B","情境、相對比較、反轉門檻","探索")))</f>
        <v>基準輸入</v>
      </c>
      <c r="T186" s="28" t="s">
        <v>620</v>
      </c>
      <c r="U186" s="42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3" t="s">
        <v>2592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2618</v>
      </c>
      <c r="B187" s="28" t="s">
        <v>435</v>
      </c>
      <c r="C187" s="203" t="n">
        <f aca="false">Harness!C74</f>
        <v>0.00156122276555359</v>
      </c>
      <c r="D187" s="203" t="n">
        <f aca="false">Harness!D74</f>
        <v>0.0106511329828895</v>
      </c>
      <c r="E187" s="203" t="n">
        <f aca="false">Harness!E74</f>
        <v>0.00748143210464292</v>
      </c>
      <c r="F187" s="203" t="n">
        <f aca="false">Harness!F74</f>
        <v>0.0299257284185717</v>
      </c>
      <c r="G187" s="203" t="n">
        <f aca="false">Harness!G74</f>
        <v>0.105796456764274</v>
      </c>
      <c r="R187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2" t="str">
        <f aca="false">IF(R187="—","—",IF(R187="A","基準輸入",IF(R187="B","情境、相對比較、反轉門檻","探索")))</f>
        <v>情境、相對比較、反轉門檻</v>
      </c>
      <c r="T187" s="28" t="s">
        <v>2455</v>
      </c>
      <c r="U187" s="42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53" t="s">
        <v>2614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2619</v>
      </c>
      <c r="B188" s="28" t="s">
        <v>1163</v>
      </c>
      <c r="C188" s="185" t="n">
        <f aca="false">Harness!C162</f>
        <v>16</v>
      </c>
      <c r="D188" s="185" t="n">
        <f aca="false">Harness!D162</f>
        <v>16</v>
      </c>
      <c r="E188" s="185" t="n">
        <f aca="false">Harness!E162</f>
        <v>16</v>
      </c>
      <c r="F188" s="185" t="n">
        <f aca="false">Harness!F162</f>
        <v>16</v>
      </c>
      <c r="G188" s="185" t="n">
        <f aca="false">Harness!G162</f>
        <v>16</v>
      </c>
      <c r="R188" s="17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2" t="str">
        <f aca="false">IF(R188="—","—",IF(R188="A","基準輸入",IF(R188="B","情境、相對比較、反轉門檻","探索")))</f>
        <v>基準輸入</v>
      </c>
      <c r="T188" s="28" t="s">
        <v>620</v>
      </c>
      <c r="U188" s="42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3" t="s">
        <v>2592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2" t="s">
        <v>2620</v>
      </c>
      <c r="B189" s="28" t="s">
        <v>99</v>
      </c>
      <c r="C189" s="200" t="n">
        <f aca="false">B5_PFloor</f>
        <v>0.5</v>
      </c>
      <c r="R189" s="177" t="str">
        <f aca="false">IF(SUM(Gov_Map!$AG$484)&gt;0,"C",IF(SUM(Gov_Map!$AH$484)&gt;0,"B","A"))</f>
        <v>A</v>
      </c>
      <c r="S189" s="42" t="str">
        <f aca="false">IF(R189="—","—",IF(R189="A","基準輸入",IF(R189="B","情境、相對比較、反轉門檻","探索")))</f>
        <v>基準輸入</v>
      </c>
      <c r="T189" s="28" t="s">
        <v>620</v>
      </c>
      <c r="U189" s="42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3" t="s">
        <v>2492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2" t="s">
        <v>2621</v>
      </c>
      <c r="B190" s="28" t="s">
        <v>435</v>
      </c>
      <c r="C190" s="202" t="n">
        <f aca="false">Harness!C151</f>
        <v>0.000102418941208421</v>
      </c>
      <c r="D190" s="202" t="n">
        <f aca="false">Harness!D151</f>
        <v>0.000736788526866689</v>
      </c>
      <c r="E190" s="202" t="n">
        <f aca="false">Harness!E151</f>
        <v>0.000400399903202603</v>
      </c>
      <c r="F190" s="202" t="n">
        <f aca="false">Harness!F151</f>
        <v>0.00201301212487506</v>
      </c>
      <c r="G190" s="202" t="n">
        <f aca="false">Harness!G151</f>
        <v>0.0212952098427094</v>
      </c>
      <c r="R190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2" t="str">
        <f aca="false">IF(R190="—","—",IF(R190="A","基準輸入",IF(R190="B","情境、相對比較、反轉門檻","探索")))</f>
        <v>情境、相對比較、反轉門檻</v>
      </c>
      <c r="T190" s="28" t="s">
        <v>620</v>
      </c>
      <c r="U190" s="42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53" t="s">
        <v>2622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2" t="s">
        <v>2623</v>
      </c>
      <c r="B191" s="42"/>
      <c r="C191" s="177" t="str">
        <f aca="false">Harness!C152</f>
        <v>Luna｜標準</v>
      </c>
      <c r="D191" s="177" t="str">
        <f aca="false">Harness!D152</f>
        <v>Luna｜標準</v>
      </c>
      <c r="E191" s="177" t="str">
        <f aca="false">Harness!E152</f>
        <v>Luna｜選定</v>
      </c>
      <c r="F191" s="177" t="str">
        <f aca="false">Harness!F152</f>
        <v>Luna｜選定</v>
      </c>
      <c r="G191" s="177" t="str">
        <f aca="false">Harness!G152</f>
        <v>Sol｜選定</v>
      </c>
      <c r="R191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2" t="str">
        <f aca="false">IF(R191="—","—",IF(R191="A","基準輸入",IF(R191="B","情境、相對比較、反轉門檻","探索")))</f>
        <v>情境、相對比較、反轉門檻</v>
      </c>
      <c r="T191" s="28" t="s">
        <v>620</v>
      </c>
      <c r="U191" s="42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53" t="s">
        <v>2622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2" t="s">
        <v>2624</v>
      </c>
      <c r="B192" s="28" t="s">
        <v>99</v>
      </c>
      <c r="C192" s="189" t="n">
        <f aca="false">Harness!C153</f>
        <v>0.962243725044712</v>
      </c>
      <c r="D192" s="189" t="n">
        <f aca="false">Harness!D153</f>
        <v>0.884017511243649</v>
      </c>
      <c r="E192" s="189" t="n">
        <f aca="false">Harness!E153</f>
        <v>0.723262011773013</v>
      </c>
      <c r="F192" s="189" t="n">
        <f aca="false">Harness!F153</f>
        <v>0.575444203093429</v>
      </c>
      <c r="G192" s="189" t="n">
        <f aca="false">Harness!G153</f>
        <v>0.627115119175411</v>
      </c>
      <c r="R192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2" t="str">
        <f aca="false">IF(R192="—","—",IF(R192="A","基準輸入",IF(R192="B","情境、相對比較、反轉門檻","探索")))</f>
        <v>情境、相對比較、反轉門檻</v>
      </c>
      <c r="T192" s="28" t="s">
        <v>620</v>
      </c>
      <c r="U192" s="42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53" t="s">
        <v>2622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1" t="s">
        <v>2625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2" t="s">
        <v>2626</v>
      </c>
      <c r="B195" s="28" t="s">
        <v>99</v>
      </c>
      <c r="C195" s="204" t="n">
        <f aca="false">AL_Q1</f>
        <v>0.364100331567795</v>
      </c>
      <c r="R195" s="177" t="str">
        <f aca="false">IF(SUM(Gov_Map!$AG$5:$AG$7,Gov_Map!$AG$69:$AG$88,Gov_Map!$AG$104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$656:$AG$658,Gov_Map!$AG$660)&gt;0,"C",IF(SUM(Gov_Map!$AH$5:$AH$7,Gov_Map!$AH$69:$AH$88,Gov_Map!$AH$104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$656:$AH$658,Gov_Map!$AH$660)&gt;0,"B","A"))</f>
        <v>B</v>
      </c>
      <c r="S195" s="42" t="str">
        <f aca="false">IF(R195="—","—",IF(R195="A","基準輸入",IF(R195="B","情境、相對比較、反轉門檻","探索")))</f>
        <v>情境、相對比較、反轉門檻</v>
      </c>
      <c r="T195" s="28" t="s">
        <v>2455</v>
      </c>
      <c r="U195" s="42" t="str">
        <f aca="false">IF(V195=0,"—",LEFT(TEXT(V195,"0"),4)&amp;"-"&amp;MID(TEXT(V195,"0"),5,2)&amp;"-"&amp;RIGHT(TEXT(V195,"0"),2))</f>
        <v>2026-10-05</v>
      </c>
      <c r="V195" s="31" t="n">
        <f aca="false">MAX(Gov_Map!$AJ$5:$AJ$7,Gov_Map!$AJ$69:$AJ$88,Gov_Map!$AJ$104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$656:$AJ$658,Gov_Map!$AJ$660)</f>
        <v>20261005</v>
      </c>
      <c r="W195" s="53" t="s">
        <v>2627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2" t="s">
        <v>2628</v>
      </c>
      <c r="B196" s="28" t="s">
        <v>99</v>
      </c>
      <c r="C196" s="205" t="n">
        <f aca="false">AL_Q1R2</f>
        <v>0.463784165219604</v>
      </c>
      <c r="R196" s="177" t="str">
        <f aca="false">IF(SUM(Gov_Map!$AG$5:$AG$7,Gov_Map!$AG$69:$AG$88,Gov_Map!$AG$104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$656:$AG$658,Gov_Map!$AG$660)&gt;0,"C",IF(SUM(Gov_Map!$AH$5:$AH$7,Gov_Map!$AH$69:$AH$88,Gov_Map!$AH$104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$656:$AH$658,Gov_Map!$AH$660)&gt;0,"B","A"))</f>
        <v>B</v>
      </c>
      <c r="S196" s="42" t="str">
        <f aca="false">IF(R196="—","—",IF(R196="A","基準輸入",IF(R196="B","情境、相對比較、反轉門檻","探索")))</f>
        <v>情境、相對比較、反轉門檻</v>
      </c>
      <c r="T196" s="28" t="s">
        <v>2455</v>
      </c>
      <c r="U196" s="42" t="str">
        <f aca="false">IF(V196=0,"—",LEFT(TEXT(V196,"0"),4)&amp;"-"&amp;MID(TEXT(V196,"0"),5,2)&amp;"-"&amp;RIGHT(TEXT(V196,"0"),2))</f>
        <v>2026-10-05</v>
      </c>
      <c r="V196" s="31" t="n">
        <f aca="false">MAX(Gov_Map!$AJ$5:$AJ$7,Gov_Map!$AJ$69:$AJ$88,Gov_Map!$AJ$104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$656:$AJ$658,Gov_Map!$AJ$660)</f>
        <v>20261005</v>
      </c>
      <c r="W196" s="53" t="s">
        <v>2627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2" t="s">
        <v>2629</v>
      </c>
      <c r="B197" s="28" t="s">
        <v>99</v>
      </c>
      <c r="C197" s="204" t="n">
        <f aca="false">AL_Q2</f>
        <v>0.428052929990199</v>
      </c>
      <c r="R197" s="17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$660)&gt;0,"B","A"))</f>
        <v>B</v>
      </c>
      <c r="S197" s="42" t="str">
        <f aca="false">IF(R197="—","—",IF(R197="A","基準輸入",IF(R197="B","情境、相對比較、反轉門檻","探索")))</f>
        <v>情境、相對比較、反轉門檻</v>
      </c>
      <c r="T197" s="28" t="s">
        <v>2455</v>
      </c>
      <c r="U197" s="42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$660)</f>
        <v>20261008</v>
      </c>
      <c r="W197" s="53" t="s">
        <v>2630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2" t="s">
        <v>2631</v>
      </c>
      <c r="B198" s="28" t="s">
        <v>91</v>
      </c>
      <c r="C198" s="206" t="n">
        <f aca="false">AL_ServeGW</f>
        <v>0.15838044607184</v>
      </c>
      <c r="R198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$461:$AH$462,Gov_Map!$AH$510:$AH$518,Gov_Map!$AH$521:$AH$522,Gov_Map!$AH$574:$AH$578,Gov_Map!$AH$588,Gov_Map!$AH$590,Gov_Map!$AH$592,Gov_Map!$AH$594,Gov_Map!$AH$660)&gt;0,"B","A"))</f>
        <v>B</v>
      </c>
      <c r="S198" s="42" t="str">
        <f aca="false">IF(R198="—","—",IF(R198="A","基準輸入",IF(R198="B","情境、相對比較、反轉門檻","探索")))</f>
        <v>情境、相對比較、反轉門檻</v>
      </c>
      <c r="T198" s="28" t="s">
        <v>2455</v>
      </c>
      <c r="U198" s="42" t="str">
        <f aca="false">IF(V198=0,"—",LEFT(TEXT(V198,"0"),4)&amp;"-"&amp;MID(TEXT(V198,"0"),5,2)&amp;"-"&amp;RIGHT(TEXT(V198,"0"),2))</f>
        <v>2026-10-05</v>
      </c>
      <c r="V19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$461:$AJ$462,Gov_Map!$AJ$510:$AJ$518,Gov_Map!$AJ$521:$AJ$522,Gov_Map!$AJ$574:$AJ$578,Gov_Map!$AJ$588,Gov_Map!$AJ$590,Gov_Map!$AJ$592,Gov_Map!$AJ$594,Gov_Map!$AJ$660)</f>
        <v>20261005</v>
      </c>
      <c r="W198" s="53" t="s">
        <v>2632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2" t="s">
        <v>2633</v>
      </c>
      <c r="B199" s="28" t="s">
        <v>2249</v>
      </c>
      <c r="C199" s="206" t="n">
        <f aca="false">AL_RDGW</f>
        <v>0.0906847035646163</v>
      </c>
      <c r="R199" s="17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,Gov_Map!$AH$656:$AH$658,Gov_Map!$AH$660)&gt;0,"B","A"))</f>
        <v>B</v>
      </c>
      <c r="S199" s="42" t="str">
        <f aca="false">IF(R199="—","—",IF(R199="A","基準輸入",IF(R199="B","情境、相對比較、反轉門檻","探索")))</f>
        <v>情境、相對比較、反轉門檻</v>
      </c>
      <c r="T199" s="28" t="s">
        <v>620</v>
      </c>
      <c r="U199" s="42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,Gov_Map!$AJ$656:$AJ$658,Gov_Map!$AJ$660)</f>
        <v>20261005</v>
      </c>
      <c r="W199" s="53" t="s">
        <v>2634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2" t="s">
        <v>2635</v>
      </c>
      <c r="B200" s="28" t="s">
        <v>799</v>
      </c>
      <c r="C200" s="55" t="n">
        <f aca="false">AL_D</f>
        <v>6015200000</v>
      </c>
      <c r="R200" s="177" t="str">
        <f aca="false">IF(SUM(Gov_Map!$AG$588,Gov_Map!$AG$590,Gov_Map!$AG$592)&gt;0,"C",IF(SUM(Gov_Map!$AH$588,Gov_Map!$AH$590,Gov_Map!$AH$592)&gt;0,"B","A"))</f>
        <v>B</v>
      </c>
      <c r="S200" s="42" t="str">
        <f aca="false">IF(R200="—","—",IF(R200="A","基準輸入",IF(R200="B","情境、相對比較、反轉門檻","探索")))</f>
        <v>情境、相對比較、反轉門檻</v>
      </c>
      <c r="T200" s="28" t="s">
        <v>620</v>
      </c>
      <c r="U200" s="42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3" t="s">
        <v>2636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2" t="s">
        <v>2637</v>
      </c>
      <c r="B201" s="42" t="s">
        <v>329</v>
      </c>
      <c r="C201" s="201" t="n">
        <f aca="false">AL_ImpliedNk</f>
        <v>4.65136536492373</v>
      </c>
      <c r="R201" s="177" t="str">
        <f aca="false">IF(SUM(Gov_Map!$AG$5:$AG$7,Gov_Map!$AG$69:$AG$88,Gov_Map!$AG$104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,Gov_Map!$AG$656:$AG$658,Gov_Map!$AG$660)&gt;0,"C",IF(SUM(Gov_Map!$AH$5:$AH$7,Gov_Map!$AH$69:$AH$88,Gov_Map!$AH$104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,Gov_Map!$AH$656:$AH$658,Gov_Map!$AH$660)&gt;0,"B","A"))</f>
        <v>B</v>
      </c>
      <c r="S201" s="42" t="str">
        <f aca="false">IF(R201="—","—",IF(R201="A","基準輸入",IF(R201="B","情境、相對比較、反轉門檻","探索")))</f>
        <v>情境、相對比較、反轉門檻</v>
      </c>
      <c r="T201" s="28" t="s">
        <v>2455</v>
      </c>
      <c r="U201" s="42" t="str">
        <f aca="false">IF(V201=0,"—",LEFT(TEXT(V201,"0"),4)&amp;"-"&amp;MID(TEXT(V201,"0"),5,2)&amp;"-"&amp;RIGHT(TEXT(V201,"0"),2))</f>
        <v>2026-10-05</v>
      </c>
      <c r="V201" s="31" t="n">
        <f aca="false">MAX(Gov_Map!$AJ$5:$AJ$7,Gov_Map!$AJ$69:$AJ$88,Gov_Map!$AJ$104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,Gov_Map!$AJ$656:$AJ$658,Gov_Map!$AJ$660)</f>
        <v>20261005</v>
      </c>
      <c r="W201" s="53" t="s">
        <v>2638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1" t="s">
        <v>2639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2" t="s">
        <v>2640</v>
      </c>
      <c r="B204" s="28" t="s">
        <v>807</v>
      </c>
      <c r="C204" s="186" t="n">
        <f aca="false">Theory_Rev_Prod!C18</f>
        <v>0.282706817888634</v>
      </c>
      <c r="D204" s="186" t="n">
        <f aca="false">Theory_Rev_Prod!D18</f>
        <v>0.403926849029499</v>
      </c>
      <c r="E204" s="186" t="n">
        <f aca="false">Theory_Rev_Prod!E18</f>
        <v>0.693683196079549</v>
      </c>
      <c r="F204" s="186" t="n">
        <f aca="false">Theory_Rev_Prod!F18</f>
        <v>0.0426305550116953</v>
      </c>
      <c r="G204" s="186" t="n">
        <f aca="false">Theory_Rev_Prod!G18</f>
        <v>0.0569171274080642</v>
      </c>
      <c r="H204" s="186" t="n">
        <f aca="false">Theory_Rev_Prod!H18</f>
        <v>0.0923082682610577</v>
      </c>
      <c r="I204" s="186" t="n">
        <f aca="false">Theory_Rev_Prod!I18</f>
        <v>0.0373376366713278</v>
      </c>
      <c r="J204" s="186" t="n">
        <f aca="false">Theory_Rev_Prod!J18</f>
        <v>0.0482205602451384</v>
      </c>
      <c r="K204" s="186" t="n">
        <f aca="false">Theory_Rev_Prod!K18</f>
        <v>0.0820902445360032</v>
      </c>
      <c r="L204" s="186" t="n">
        <f aca="false">Theory_Rev_Prod!L18</f>
        <v>0.0254639568319906</v>
      </c>
      <c r="M204" s="186" t="n">
        <f aca="false">Theory_Rev_Prod!M18</f>
        <v>0.0327246589739174</v>
      </c>
      <c r="N204" s="186" t="n">
        <f aca="false">Theory_Rev_Prod!N18</f>
        <v>0.0528610322562433</v>
      </c>
      <c r="O204" s="186" t="n">
        <f aca="false">Theory_Rev_Prod!O18</f>
        <v>0.019039987341036</v>
      </c>
      <c r="P204" s="186" t="n">
        <f aca="false">Theory_Rev_Prod!P18</f>
        <v>0.028932538699959</v>
      </c>
      <c r="Q204" s="186" t="n">
        <f aca="false">Theory_Rev_Prod!Q18</f>
        <v>0.052808606781477</v>
      </c>
      <c r="R204" s="17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4" s="42" t="str">
        <f aca="false">IF(R204="—","—",IF(R204="A","基準輸入",IF(R204="B","情境、相對比較、反轉門檻","探索")))</f>
        <v>情境、相對比較、反轉門檻</v>
      </c>
      <c r="T204" s="28" t="s">
        <v>2641</v>
      </c>
      <c r="U204" s="42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4" s="53" t="s">
        <v>2642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2" t="s">
        <v>2643</v>
      </c>
      <c r="B205" s="28" t="s">
        <v>807</v>
      </c>
      <c r="C205" s="186" t="n">
        <f aca="false">Theory_Rev_Prod!C36</f>
        <v>0.854125092609135</v>
      </c>
      <c r="D205" s="186" t="n">
        <f aca="false">Theory_Rev_Prod!D36</f>
        <v>1.22036732053968</v>
      </c>
      <c r="E205" s="186" t="n">
        <f aca="false">Theory_Rev_Prod!E36</f>
        <v>2.09580852528007</v>
      </c>
      <c r="F205" s="186" t="n">
        <f aca="false">Theory_Rev_Prod!F36</f>
        <v>0.137559309558528</v>
      </c>
      <c r="G205" s="186" t="n">
        <f aca="false">Theory_Rev_Prod!G36</f>
        <v>0.1836654635784</v>
      </c>
      <c r="H205" s="186" t="n">
        <f aca="false">Theory_Rev_Prod!H36</f>
        <v>0.297881060282466</v>
      </c>
      <c r="I205" s="186" t="n">
        <f aca="false">Theory_Rev_Prod!I36</f>
        <v>0.121262378816956</v>
      </c>
      <c r="J205" s="186" t="n">
        <f aca="false">Theory_Rev_Prod!J36</f>
        <v>0.156612899452836</v>
      </c>
      <c r="K205" s="186" t="n">
        <f aca="false">Theory_Rev_Prod!K36</f>
        <v>0.266630301057697</v>
      </c>
      <c r="L205" s="186" t="n">
        <f aca="false">Theory_Rev_Prod!L36</f>
        <v>0.0777840752255203</v>
      </c>
      <c r="M205" s="186" t="n">
        <f aca="false">Theory_Rev_Prod!M36</f>
        <v>0.09996820546378</v>
      </c>
      <c r="N205" s="186" t="n">
        <f aca="false">Theory_Rev_Prod!N36</f>
        <v>0.161492272790798</v>
      </c>
      <c r="O205" s="186" t="n">
        <f aca="false">Theory_Rev_Prod!O36</f>
        <v>0.0575524804069272</v>
      </c>
      <c r="P205" s="186" t="n">
        <f aca="false">Theory_Rev_Prod!P36</f>
        <v>0.0874638901630846</v>
      </c>
      <c r="Q205" s="186" t="n">
        <f aca="false">Theory_Rev_Prod!Q36</f>
        <v>0.159656273082383</v>
      </c>
      <c r="R205" s="17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5" s="42" t="str">
        <f aca="false">IF(R205="—","—",IF(R205="A","基準輸入",IF(R205="B","情境、相對比較、反轉門檻","探索")))</f>
        <v>情境、相對比較、反轉門檻</v>
      </c>
      <c r="T205" s="28" t="s">
        <v>2641</v>
      </c>
      <c r="U205" s="42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5" s="53" t="s">
        <v>2642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2" t="s">
        <v>2644</v>
      </c>
      <c r="B206" s="28" t="s">
        <v>807</v>
      </c>
      <c r="C206" s="186" t="str">
        <f aca="false">Theory_Rev_Prod!C54</f>
        <v>SLO 不可達</v>
      </c>
      <c r="D206" s="186" t="str">
        <f aca="false">Theory_Rev_Prod!D54</f>
        <v>SLO 不可達</v>
      </c>
      <c r="E206" s="186" t="str">
        <f aca="false">Theory_Rev_Prod!E54</f>
        <v>SLO 不可達</v>
      </c>
      <c r="F206" s="186" t="n">
        <f aca="false">Theory_Rev_Prod!F54</f>
        <v>1.25766742001632</v>
      </c>
      <c r="G206" s="186" t="n">
        <f aca="false">Theory_Rev_Prod!G54</f>
        <v>1.6791757326567</v>
      </c>
      <c r="H206" s="186" t="n">
        <f aca="false">Theory_Rev_Prod!H54</f>
        <v>2.72334921594475</v>
      </c>
      <c r="I206" s="186" t="n">
        <f aca="false">Theory_Rev_Prod!I54</f>
        <v>1.30458253122324</v>
      </c>
      <c r="J206" s="186" t="n">
        <f aca="false">Theory_Rev_Prod!J54</f>
        <v>1.6848787498844</v>
      </c>
      <c r="K206" s="186" t="n">
        <f aca="false">Theory_Rev_Prod!K54</f>
        <v>2.86843138403682</v>
      </c>
      <c r="L206" s="186" t="n">
        <f aca="false">Theory_Rev_Prod!L54</f>
        <v>0.550105101834505</v>
      </c>
      <c r="M206" s="186" t="n">
        <f aca="false">Theory_Rev_Prod!M54</f>
        <v>0.706963190029358</v>
      </c>
      <c r="N206" s="186" t="n">
        <f aca="false">Theory_Rev_Prod!N54</f>
        <v>1.14198351650778</v>
      </c>
      <c r="O206" s="186" t="n">
        <f aca="false">Theory_Rev_Prod!O54</f>
        <v>0.352607903361854</v>
      </c>
      <c r="P206" s="186" t="n">
        <f aca="false">Theory_Rev_Prod!P54</f>
        <v>0.535799612330799</v>
      </c>
      <c r="Q206" s="186" t="n">
        <f aca="false">Theory_Rev_Prod!Q54</f>
        <v>0.97794012357181</v>
      </c>
      <c r="R206" s="17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6" s="42" t="str">
        <f aca="false">IF(R206="—","—",IF(R206="A","基準輸入",IF(R206="B","情境、相對比較、反轉門檻","探索")))</f>
        <v>情境、相對比較、反轉門檻</v>
      </c>
      <c r="T206" s="28" t="s">
        <v>2641</v>
      </c>
      <c r="U206" s="42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6" s="53" t="s">
        <v>2642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2" t="s">
        <v>2645</v>
      </c>
      <c r="B207" s="28" t="s">
        <v>1814</v>
      </c>
      <c r="C207" s="197" t="n">
        <f aca="false">Theory_Rev_Prod!C11</f>
        <v>2.08411383671757</v>
      </c>
      <c r="D207" s="197" t="n">
        <f aca="false">Theory_Rev_Prod!D11</f>
        <v>2.08411383671757</v>
      </c>
      <c r="E207" s="197" t="n">
        <f aca="false">Theory_Rev_Prod!E11</f>
        <v>2.08411383671757</v>
      </c>
      <c r="F207" s="197" t="n">
        <f aca="false">Theory_Rev_Prod!F11</f>
        <v>13.6555857459493</v>
      </c>
      <c r="G207" s="197" t="n">
        <f aca="false">Theory_Rev_Prod!G11</f>
        <v>13.6555857459493</v>
      </c>
      <c r="H207" s="197" t="n">
        <f aca="false">Theory_Rev_Prod!H11</f>
        <v>13.6555857459493</v>
      </c>
      <c r="I207" s="197" t="n">
        <f aca="false">Theory_Rev_Prod!I11</f>
        <v>19.8808398591479</v>
      </c>
      <c r="J207" s="197" t="n">
        <f aca="false">Theory_Rev_Prod!J11</f>
        <v>19.8808398591479</v>
      </c>
      <c r="K207" s="197" t="n">
        <f aca="false">Theory_Rev_Prod!K11</f>
        <v>19.8808398591479</v>
      </c>
      <c r="L207" s="197" t="n">
        <f aca="false">Theory_Rev_Prod!L11</f>
        <v>29.3255549100997</v>
      </c>
      <c r="M207" s="197" t="n">
        <f aca="false">Theory_Rev_Prod!M11</f>
        <v>29.3255549100997</v>
      </c>
      <c r="N207" s="197" t="n">
        <f aca="false">Theory_Rev_Prod!N11</f>
        <v>29.3255549100997</v>
      </c>
      <c r="O207" s="197" t="n">
        <f aca="false">Theory_Rev_Prod!O11</f>
        <v>39.6992397829504</v>
      </c>
      <c r="P207" s="197" t="n">
        <f aca="false">Theory_Rev_Prod!P11</f>
        <v>39.6992397829504</v>
      </c>
      <c r="Q207" s="197" t="n">
        <f aca="false">Theory_Rev_Prod!Q11</f>
        <v>39.6992397829504</v>
      </c>
      <c r="R207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2" t="str">
        <f aca="false">IF(R207="—","—",IF(R207="A","基準輸入",IF(R207="B","情境、相對比較、反轉門檻","探索")))</f>
        <v>情境、相對比較、反轉門檻</v>
      </c>
      <c r="T207" s="28" t="s">
        <v>2641</v>
      </c>
      <c r="U207" s="42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53" t="s">
        <v>2646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2" t="s">
        <v>2647</v>
      </c>
      <c r="B208" s="28" t="s">
        <v>1814</v>
      </c>
      <c r="C208" s="197" t="n">
        <f aca="false">Theory_Rev_Prod!C29</f>
        <v>12.9469345365415</v>
      </c>
      <c r="D208" s="197" t="n">
        <f aca="false">Theory_Rev_Prod!D29</f>
        <v>12.9469345365415</v>
      </c>
      <c r="E208" s="197" t="n">
        <f aca="false">Theory_Rev_Prod!E29</f>
        <v>12.9469345365415</v>
      </c>
      <c r="F208" s="197" t="n">
        <f aca="false">Theory_Rev_Prod!F29</f>
        <v>80.1519532436076</v>
      </c>
      <c r="G208" s="197" t="n">
        <f aca="false">Theory_Rev_Prod!G29</f>
        <v>80.1519532436076</v>
      </c>
      <c r="H208" s="197" t="n">
        <f aca="false">Theory_Rev_Prod!H29</f>
        <v>80.1519532436076</v>
      </c>
      <c r="I208" s="197" t="n">
        <f aca="false">Theory_Rev_Prod!I29</f>
        <v>116.69130687468</v>
      </c>
      <c r="J208" s="197" t="n">
        <f aca="false">Theory_Rev_Prod!J29</f>
        <v>116.69130687468</v>
      </c>
      <c r="K208" s="197" t="n">
        <f aca="false">Theory_Rev_Prod!K29</f>
        <v>116.69130687468</v>
      </c>
      <c r="L208" s="197" t="n">
        <f aca="false">Theory_Rev_Prod!L29</f>
        <v>184.79597204631</v>
      </c>
      <c r="M208" s="197" t="n">
        <f aca="false">Theory_Rev_Prod!M29</f>
        <v>184.79597204631</v>
      </c>
      <c r="N208" s="197" t="n">
        <f aca="false">Theory_Rev_Prod!N29</f>
        <v>184.79597204631</v>
      </c>
      <c r="O208" s="197" t="n">
        <f aca="false">Theory_Rev_Prod!O29</f>
        <v>254.725350558298</v>
      </c>
      <c r="P208" s="197" t="n">
        <f aca="false">Theory_Rev_Prod!P29</f>
        <v>254.725350558298</v>
      </c>
      <c r="Q208" s="197" t="n">
        <f aca="false">Theory_Rev_Prod!Q29</f>
        <v>254.725350558298</v>
      </c>
      <c r="R208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2" t="str">
        <f aca="false">IF(R208="—","—",IF(R208="A","基準輸入",IF(R208="B","情境、相對比較、反轉門檻","探索")))</f>
        <v>情境、相對比較、反轉門檻</v>
      </c>
      <c r="T208" s="28" t="s">
        <v>2641</v>
      </c>
      <c r="U208" s="42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53" t="s">
        <v>2646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2" t="s">
        <v>2648</v>
      </c>
      <c r="B209" s="28" t="s">
        <v>1814</v>
      </c>
      <c r="C209" s="197" t="str">
        <f aca="false">Theory_Rev_Prod!C47</f>
        <v>TTFT 不可達</v>
      </c>
      <c r="D209" s="197" t="str">
        <f aca="false">Theory_Rev_Prod!D47</f>
        <v>TTFT 不可達</v>
      </c>
      <c r="E209" s="197" t="str">
        <f aca="false">Theory_Rev_Prod!E47</f>
        <v>TTFT 不可達</v>
      </c>
      <c r="F209" s="197" t="n">
        <f aca="false">Theory_Rev_Prod!F47</f>
        <v>70.8060260045462</v>
      </c>
      <c r="G209" s="197" t="n">
        <f aca="false">Theory_Rev_Prod!G47</f>
        <v>70.8060260045462</v>
      </c>
      <c r="H209" s="197" t="n">
        <f aca="false">Theory_Rev_Prod!H47</f>
        <v>70.8060260045462</v>
      </c>
      <c r="I209" s="197" t="n">
        <f aca="false">Theory_Rev_Prod!I47</f>
        <v>81.6810591163036</v>
      </c>
      <c r="J209" s="197" t="n">
        <f aca="false">Theory_Rev_Prod!J47</f>
        <v>81.6810591163036</v>
      </c>
      <c r="K209" s="197" t="n">
        <f aca="false">Theory_Rev_Prod!K47</f>
        <v>81.6810591163036</v>
      </c>
      <c r="L209" s="197" t="n">
        <f aca="false">Theory_Rev_Prod!L47</f>
        <v>188.934678809326</v>
      </c>
      <c r="M209" s="197" t="n">
        <f aca="false">Theory_Rev_Prod!M47</f>
        <v>188.934678809326</v>
      </c>
      <c r="N209" s="197" t="n">
        <f aca="false">Theory_Rev_Prod!N47</f>
        <v>188.934678809326</v>
      </c>
      <c r="O209" s="197" t="n">
        <f aca="false">Theory_Rev_Prod!O47</f>
        <v>278.482692813541</v>
      </c>
      <c r="P209" s="197" t="n">
        <f aca="false">Theory_Rev_Prod!P47</f>
        <v>278.482692813541</v>
      </c>
      <c r="Q209" s="197" t="n">
        <f aca="false">Theory_Rev_Prod!Q47</f>
        <v>278.482692813541</v>
      </c>
      <c r="R209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2" t="str">
        <f aca="false">IF(R209="—","—",IF(R209="A","基準輸入",IF(R209="B","情境、相對比較、反轉門檻","探索")))</f>
        <v>情境、相對比較、反轉門檻</v>
      </c>
      <c r="T209" s="28" t="s">
        <v>2641</v>
      </c>
      <c r="U209" s="42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53" t="s">
        <v>2646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2" t="s">
        <v>2649</v>
      </c>
      <c r="B210" s="28" t="s">
        <v>1814</v>
      </c>
      <c r="C210" s="197" t="n">
        <f aca="false">Theory_Rev_Prod!C67</f>
        <v>2.34609687931515</v>
      </c>
      <c r="D210" s="197" t="n">
        <f aca="false">Theory_Rev_Prod!D67</f>
        <v>2.34609687931515</v>
      </c>
      <c r="E210" s="197" t="n">
        <f aca="false">Theory_Rev_Prod!E67</f>
        <v>2.34609687931515</v>
      </c>
      <c r="F210" s="197" t="n">
        <f aca="false">Theory_Rev_Prod!F67</f>
        <v>15.2851605558118</v>
      </c>
      <c r="G210" s="197" t="n">
        <f aca="false">Theory_Rev_Prod!G67</f>
        <v>15.2851605558118</v>
      </c>
      <c r="H210" s="197" t="n">
        <f aca="false">Theory_Rev_Prod!H67</f>
        <v>15.2851605558118</v>
      </c>
      <c r="I210" s="197" t="n">
        <f aca="false">Theory_Rev_Prod!I67</f>
        <v>19.2324652424837</v>
      </c>
      <c r="J210" s="197" t="n">
        <f aca="false">Theory_Rev_Prod!J67</f>
        <v>19.2324652424837</v>
      </c>
      <c r="K210" s="197" t="n">
        <f aca="false">Theory_Rev_Prod!K67</f>
        <v>19.2324652424837</v>
      </c>
      <c r="L210" s="197" t="n">
        <f aca="false">Theory_Rev_Prod!L67</f>
        <v>38.1145472754025</v>
      </c>
      <c r="M210" s="197" t="n">
        <f aca="false">Theory_Rev_Prod!M67</f>
        <v>38.1145472754025</v>
      </c>
      <c r="N210" s="197" t="n">
        <f aca="false">Theory_Rev_Prod!N67</f>
        <v>38.1145472754025</v>
      </c>
      <c r="O210" s="197" t="n">
        <f aca="false">Theory_Rev_Prod!O67</f>
        <v>54.4181760054532</v>
      </c>
      <c r="P210" s="197" t="n">
        <f aca="false">Theory_Rev_Prod!P67</f>
        <v>54.4181760054532</v>
      </c>
      <c r="Q210" s="197" t="n">
        <f aca="false">Theory_Rev_Prod!Q67</f>
        <v>54.4181760054532</v>
      </c>
      <c r="R210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2" t="str">
        <f aca="false">IF(R210="—","—",IF(R210="A","基準輸入",IF(R210="B","情境、相對比較、反轉門檻","探索")))</f>
        <v>情境、相對比較、反轉門檻</v>
      </c>
      <c r="T210" s="28" t="s">
        <v>2641</v>
      </c>
      <c r="U210" s="42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53" t="s">
        <v>2650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1" t="s">
        <v>2651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2" t="s">
        <v>2652</v>
      </c>
      <c r="B213" s="28" t="s">
        <v>1814</v>
      </c>
      <c r="C213" s="197" t="n">
        <f aca="false">Theory_Rev!C90</f>
        <v>2.08411383671757</v>
      </c>
      <c r="D213" s="197" t="n">
        <f aca="false">Theory_Rev!D90</f>
        <v>2.08411383671757</v>
      </c>
      <c r="E213" s="197" t="n">
        <f aca="false">Theory_Rev!E90</f>
        <v>2.08411383671757</v>
      </c>
      <c r="F213" s="197" t="n">
        <f aca="false">Theory_Rev!F90</f>
        <v>13.6555857459493</v>
      </c>
      <c r="G213" s="197" t="n">
        <f aca="false">Theory_Rev!G90</f>
        <v>13.6555857459493</v>
      </c>
      <c r="H213" s="197" t="n">
        <f aca="false">Theory_Rev!H90</f>
        <v>13.6555857459493</v>
      </c>
      <c r="I213" s="197" t="n">
        <f aca="false">Theory_Rev!I90</f>
        <v>19.8808398591479</v>
      </c>
      <c r="J213" s="197" t="n">
        <f aca="false">Theory_Rev!J90</f>
        <v>19.8808398591479</v>
      </c>
      <c r="K213" s="197" t="n">
        <f aca="false">Theory_Rev!K90</f>
        <v>19.8808398591479</v>
      </c>
      <c r="L213" s="197" t="n">
        <f aca="false">Theory_Rev!L90</f>
        <v>29.3255549100997</v>
      </c>
      <c r="M213" s="197" t="n">
        <f aca="false">Theory_Rev!M90</f>
        <v>29.3255549100997</v>
      </c>
      <c r="N213" s="197" t="n">
        <f aca="false">Theory_Rev!N90</f>
        <v>29.3255549100997</v>
      </c>
      <c r="O213" s="197" t="n">
        <f aca="false">Theory_Rev!O90</f>
        <v>39.6992397829504</v>
      </c>
      <c r="P213" s="197" t="n">
        <f aca="false">Theory_Rev!P90</f>
        <v>39.6992397829504</v>
      </c>
      <c r="Q213" s="197" t="n">
        <f aca="false">Theory_Rev!Q90</f>
        <v>39.6992397829504</v>
      </c>
      <c r="R213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2" t="str">
        <f aca="false">IF(R213="—","—",IF(R213="A","基準輸入",IF(R213="B","情境、相對比較、反轉門檻","探索")))</f>
        <v>情境、相對比較、反轉門檻</v>
      </c>
      <c r="T213" s="28" t="s">
        <v>2653</v>
      </c>
      <c r="U213" s="42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53" t="s">
        <v>2654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2" t="s">
        <v>2655</v>
      </c>
      <c r="B214" s="28" t="s">
        <v>1814</v>
      </c>
      <c r="C214" s="197" t="n">
        <f aca="false">Theory_Rev!C91</f>
        <v>12.9469345365415</v>
      </c>
      <c r="D214" s="197" t="n">
        <f aca="false">Theory_Rev!D91</f>
        <v>12.9469345365415</v>
      </c>
      <c r="E214" s="197" t="n">
        <f aca="false">Theory_Rev!E91</f>
        <v>12.9469345365415</v>
      </c>
      <c r="F214" s="197" t="n">
        <f aca="false">Theory_Rev!F91</f>
        <v>80.1519532436076</v>
      </c>
      <c r="G214" s="197" t="n">
        <f aca="false">Theory_Rev!G91</f>
        <v>80.1519532436076</v>
      </c>
      <c r="H214" s="197" t="n">
        <f aca="false">Theory_Rev!H91</f>
        <v>80.1519532436076</v>
      </c>
      <c r="I214" s="197" t="n">
        <f aca="false">Theory_Rev!I91</f>
        <v>116.69130687468</v>
      </c>
      <c r="J214" s="197" t="n">
        <f aca="false">Theory_Rev!J91</f>
        <v>116.69130687468</v>
      </c>
      <c r="K214" s="197" t="n">
        <f aca="false">Theory_Rev!K91</f>
        <v>116.69130687468</v>
      </c>
      <c r="L214" s="197" t="n">
        <f aca="false">Theory_Rev!L91</f>
        <v>184.79597204631</v>
      </c>
      <c r="M214" s="197" t="n">
        <f aca="false">Theory_Rev!M91</f>
        <v>184.79597204631</v>
      </c>
      <c r="N214" s="197" t="n">
        <f aca="false">Theory_Rev!N91</f>
        <v>184.79597204631</v>
      </c>
      <c r="O214" s="197" t="n">
        <f aca="false">Theory_Rev!O91</f>
        <v>254.725350558298</v>
      </c>
      <c r="P214" s="197" t="n">
        <f aca="false">Theory_Rev!P91</f>
        <v>254.725350558298</v>
      </c>
      <c r="Q214" s="197" t="n">
        <f aca="false">Theory_Rev!Q91</f>
        <v>254.725350558298</v>
      </c>
      <c r="R214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2" t="str">
        <f aca="false">IF(R214="—","—",IF(R214="A","基準輸入",IF(R214="B","情境、相對比較、反轉門檻","探索")))</f>
        <v>情境、相對比較、反轉門檻</v>
      </c>
      <c r="T214" s="28" t="s">
        <v>2653</v>
      </c>
      <c r="U214" s="42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53" t="s">
        <v>2654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2" t="s">
        <v>2656</v>
      </c>
      <c r="B215" s="28" t="s">
        <v>1814</v>
      </c>
      <c r="C215" s="197" t="str">
        <f aca="false">Theory_Rev!C92</f>
        <v>TTFT 不可達</v>
      </c>
      <c r="D215" s="197" t="str">
        <f aca="false">Theory_Rev!D92</f>
        <v>TTFT 不可達</v>
      </c>
      <c r="E215" s="197" t="str">
        <f aca="false">Theory_Rev!E92</f>
        <v>TTFT 不可達</v>
      </c>
      <c r="F215" s="197" t="n">
        <f aca="false">Theory_Rev!F92</f>
        <v>70.8060260045462</v>
      </c>
      <c r="G215" s="197" t="n">
        <f aca="false">Theory_Rev!G92</f>
        <v>70.8060260045462</v>
      </c>
      <c r="H215" s="197" t="n">
        <f aca="false">Theory_Rev!H92</f>
        <v>70.8060260045462</v>
      </c>
      <c r="I215" s="197" t="n">
        <f aca="false">Theory_Rev!I92</f>
        <v>81.6810591163036</v>
      </c>
      <c r="J215" s="197" t="n">
        <f aca="false">Theory_Rev!J92</f>
        <v>81.6810591163036</v>
      </c>
      <c r="K215" s="197" t="n">
        <f aca="false">Theory_Rev!K92</f>
        <v>81.6810591163036</v>
      </c>
      <c r="L215" s="197" t="n">
        <f aca="false">Theory_Rev!L92</f>
        <v>188.934678809326</v>
      </c>
      <c r="M215" s="197" t="n">
        <f aca="false">Theory_Rev!M92</f>
        <v>188.934678809326</v>
      </c>
      <c r="N215" s="197" t="n">
        <f aca="false">Theory_Rev!N92</f>
        <v>188.934678809326</v>
      </c>
      <c r="O215" s="197" t="n">
        <f aca="false">Theory_Rev!O92</f>
        <v>278.482692813541</v>
      </c>
      <c r="P215" s="197" t="n">
        <f aca="false">Theory_Rev!P92</f>
        <v>278.482692813541</v>
      </c>
      <c r="Q215" s="197" t="n">
        <f aca="false">Theory_Rev!Q92</f>
        <v>278.482692813541</v>
      </c>
      <c r="R21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2" t="str">
        <f aca="false">IF(R215="—","—",IF(R215="A","基準輸入",IF(R215="B","情境、相對比較、反轉門檻","探索")))</f>
        <v>情境、相對比較、反轉門檻</v>
      </c>
      <c r="T215" s="28" t="s">
        <v>2653</v>
      </c>
      <c r="U215" s="42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53" t="s">
        <v>2654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2" t="s">
        <v>2657</v>
      </c>
      <c r="B216" s="28" t="s">
        <v>1814</v>
      </c>
      <c r="C216" s="197" t="n">
        <f aca="false">Theory_Rev!C93</f>
        <v>2.34609687931515</v>
      </c>
      <c r="D216" s="197" t="n">
        <f aca="false">Theory_Rev!D93</f>
        <v>2.34609687931515</v>
      </c>
      <c r="E216" s="197" t="n">
        <f aca="false">Theory_Rev!E93</f>
        <v>2.34609687931515</v>
      </c>
      <c r="F216" s="197" t="n">
        <f aca="false">Theory_Rev!F93</f>
        <v>15.2851605558118</v>
      </c>
      <c r="G216" s="197" t="n">
        <f aca="false">Theory_Rev!G93</f>
        <v>15.2851605558118</v>
      </c>
      <c r="H216" s="197" t="n">
        <f aca="false">Theory_Rev!H93</f>
        <v>15.2851605558118</v>
      </c>
      <c r="I216" s="197" t="n">
        <f aca="false">Theory_Rev!I93</f>
        <v>19.2324652424837</v>
      </c>
      <c r="J216" s="197" t="n">
        <f aca="false">Theory_Rev!J93</f>
        <v>19.2324652424837</v>
      </c>
      <c r="K216" s="197" t="n">
        <f aca="false">Theory_Rev!K93</f>
        <v>19.2324652424837</v>
      </c>
      <c r="L216" s="197" t="n">
        <f aca="false">Theory_Rev!L93</f>
        <v>38.1145472754025</v>
      </c>
      <c r="M216" s="197" t="n">
        <f aca="false">Theory_Rev!M93</f>
        <v>38.1145472754025</v>
      </c>
      <c r="N216" s="197" t="n">
        <f aca="false">Theory_Rev!N93</f>
        <v>38.1145472754025</v>
      </c>
      <c r="O216" s="197" t="n">
        <f aca="false">Theory_Rev!O93</f>
        <v>54.4181760054532</v>
      </c>
      <c r="P216" s="197" t="n">
        <f aca="false">Theory_Rev!P93</f>
        <v>54.4181760054532</v>
      </c>
      <c r="Q216" s="197" t="n">
        <f aca="false">Theory_Rev!Q93</f>
        <v>54.4181760054532</v>
      </c>
      <c r="R21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2" t="str">
        <f aca="false">IF(R216="—","—",IF(R216="A","基準輸入",IF(R216="B","情境、相對比較、反轉門檻","探索")))</f>
        <v>情境、相對比較、反轉門檻</v>
      </c>
      <c r="T216" s="28" t="s">
        <v>2653</v>
      </c>
      <c r="U216" s="42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53" t="s">
        <v>2658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1" t="s">
        <v>2659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2660</v>
      </c>
      <c r="B219" s="42" t="s">
        <v>134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77" t="str">
        <f aca="false">IF(SUM(Gov_Map!$AG$62:$AG$64)&gt;0,"C",IF(SUM(Gov_Map!$AH$62:$AH$64)&gt;0,"B","A"))</f>
        <v>B</v>
      </c>
      <c r="S219" s="42" t="str">
        <f aca="false">IF(R219="—","—",IF(R219="A","基準輸入",IF(R219="B","情境、相對比較、反轉門檻","探索")))</f>
        <v>情境、相對比較、反轉門檻</v>
      </c>
      <c r="T219" s="28" t="s">
        <v>620</v>
      </c>
      <c r="U219" s="42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3" t="s">
        <v>2661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2" t="s">
        <v>2662</v>
      </c>
      <c r="B220" s="28" t="s">
        <v>1814</v>
      </c>
      <c r="C220" s="44" t="n">
        <f aca="false">(DC_Cost!C39)/CTL_GW</f>
        <v>3.5700449</v>
      </c>
      <c r="D220" s="44" t="n">
        <f aca="false">(DC_Cost!D39)/CTL_GW</f>
        <v>4.58503566666667</v>
      </c>
      <c r="E220" s="44" t="n">
        <f aca="false">(DC_Cost!E39)/CTL_GW</f>
        <v>8.53018585</v>
      </c>
      <c r="F220" s="44" t="n">
        <f aca="false">(DC_Cost!F39)/CTL_GW</f>
        <v>3.4398984</v>
      </c>
      <c r="G220" s="44" t="n">
        <f aca="false">(DC_Cost!G39)/CTL_GW</f>
        <v>4.002529</v>
      </c>
      <c r="H220" s="44" t="n">
        <f aca="false">(DC_Cost!H39)/CTL_GW</f>
        <v>6.9125511</v>
      </c>
      <c r="I220" s="44" t="n">
        <f aca="false">(DC_Cost!I39)/CTL_GW</f>
        <v>4.7591504</v>
      </c>
      <c r="J220" s="44" t="n">
        <f aca="false">(DC_Cost!J39)/CTL_GW</f>
        <v>5.37287066666667</v>
      </c>
      <c r="K220" s="44" t="n">
        <f aca="false">(DC_Cost!K39)/CTL_GW</f>
        <v>9.8206516</v>
      </c>
      <c r="L220" s="44" t="n">
        <f aca="false">(DC_Cost!L39)/CTL_GW</f>
        <v>5.5455672</v>
      </c>
      <c r="M220" s="44" t="n">
        <f aca="false">(DC_Cost!M39)/CTL_GW</f>
        <v>6.264392</v>
      </c>
      <c r="N220" s="44" t="n">
        <f aca="false">(DC_Cost!N39)/CTL_GW</f>
        <v>10.6593938</v>
      </c>
      <c r="O220" s="44" t="n">
        <f aca="false">(DC_Cost!O39)/CTL_GW</f>
        <v>5.974263</v>
      </c>
      <c r="P220" s="44" t="n">
        <f aca="false">(DC_Cost!P39)/CTL_GW</f>
        <v>8.34763</v>
      </c>
      <c r="Q220" s="44" t="n">
        <f aca="false">(DC_Cost!Q39)/CTL_GW</f>
        <v>16.3703895</v>
      </c>
      <c r="R220" s="177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2" t="str">
        <f aca="false">IF(R220="—","—",IF(R220="A","基準輸入",IF(R220="B","情境、相對比較、反轉門檻","探索")))</f>
        <v>情境、相對比較、反轉門檻</v>
      </c>
      <c r="T220" s="28" t="s">
        <v>620</v>
      </c>
      <c r="U220" s="42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3" t="s">
        <v>2663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2" t="s">
        <v>2664</v>
      </c>
      <c r="B221" s="28" t="s">
        <v>1814</v>
      </c>
      <c r="C221" s="44" t="n">
        <f aca="false">(DC_Cost!C40)/CTL_GW</f>
        <v>0.507733333333333</v>
      </c>
      <c r="D221" s="44" t="n">
        <f aca="false">(DC_Cost!D40)/CTL_GW</f>
        <v>0.634416666666667</v>
      </c>
      <c r="E221" s="44" t="n">
        <f aca="false">(DC_Cost!E40)/CTL_GW</f>
        <v>0.812233333333334</v>
      </c>
      <c r="F221" s="44" t="n">
        <f aca="false">(DC_Cost!F40)/CTL_GW</f>
        <v>0.507733333333333</v>
      </c>
      <c r="G221" s="44" t="n">
        <f aca="false">(DC_Cost!G40)/CTL_GW</f>
        <v>0.634416666666667</v>
      </c>
      <c r="H221" s="44" t="n">
        <f aca="false">(DC_Cost!H40)/CTL_GW</f>
        <v>0.812233333333334</v>
      </c>
      <c r="I221" s="44" t="n">
        <f aca="false">(DC_Cost!I40)/CTL_GW</f>
        <v>0.507733333333333</v>
      </c>
      <c r="J221" s="44" t="n">
        <f aca="false">(DC_Cost!J40)/CTL_GW</f>
        <v>0.634416666666667</v>
      </c>
      <c r="K221" s="44" t="n">
        <f aca="false">(DC_Cost!K40)/CTL_GW</f>
        <v>0.812233333333334</v>
      </c>
      <c r="L221" s="44" t="n">
        <f aca="false">(DC_Cost!L40)/CTL_GW</f>
        <v>0.507733333333333</v>
      </c>
      <c r="M221" s="44" t="n">
        <f aca="false">(DC_Cost!M40)/CTL_GW</f>
        <v>0.634416666666667</v>
      </c>
      <c r="N221" s="44" t="n">
        <f aca="false">(DC_Cost!N40)/CTL_GW</f>
        <v>0.812233333333334</v>
      </c>
      <c r="O221" s="44" t="n">
        <f aca="false">(DC_Cost!O40)/CTL_GW</f>
        <v>0.507733333333333</v>
      </c>
      <c r="P221" s="44" t="n">
        <f aca="false">(DC_Cost!P40)/CTL_GW</f>
        <v>0.634416666666667</v>
      </c>
      <c r="Q221" s="44" t="n">
        <f aca="false">(DC_Cost!Q40)/CTL_GW</f>
        <v>0.812233333333334</v>
      </c>
      <c r="R221" s="177" t="str">
        <f aca="false">IF(SUM(Gov_Map!$AG$5,Gov_Map!$AG$26:$AG$40,Gov_Map!$AG$65:$AG$68)&gt;0,"C",IF(SUM(Gov_Map!$AH$5,Gov_Map!$AH$26:$AH$40,Gov_Map!$AH$65:$AH$68)&gt;0,"B","A"))</f>
        <v>A</v>
      </c>
      <c r="S221" s="42" t="str">
        <f aca="false">IF(R221="—","—",IF(R221="A","基準輸入",IF(R221="B","情境、相對比較、反轉門檻","探索")))</f>
        <v>基準輸入</v>
      </c>
      <c r="T221" s="28" t="s">
        <v>620</v>
      </c>
      <c r="U221" s="42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3" t="s">
        <v>2665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2" t="s">
        <v>2666</v>
      </c>
      <c r="B222" s="28" t="s">
        <v>99</v>
      </c>
      <c r="C222" s="189" t="n">
        <f aca="false">DC_Cost!C41</f>
        <v>0.7</v>
      </c>
      <c r="D222" s="189" t="n">
        <f aca="false">DC_Cost!D41</f>
        <v>0.8</v>
      </c>
      <c r="E222" s="189" t="n">
        <f aca="false">DC_Cost!E41</f>
        <v>0.9</v>
      </c>
      <c r="F222" s="189" t="n">
        <f aca="false">DC_Cost!F41</f>
        <v>0.7</v>
      </c>
      <c r="G222" s="189" t="n">
        <f aca="false">DC_Cost!G41</f>
        <v>0.8</v>
      </c>
      <c r="H222" s="189" t="n">
        <f aca="false">DC_Cost!H41</f>
        <v>0.9</v>
      </c>
      <c r="I222" s="189" t="n">
        <f aca="false">DC_Cost!I41</f>
        <v>0.7</v>
      </c>
      <c r="J222" s="189" t="n">
        <f aca="false">DC_Cost!J41</f>
        <v>0.8</v>
      </c>
      <c r="K222" s="189" t="n">
        <f aca="false">DC_Cost!K41</f>
        <v>0.9</v>
      </c>
      <c r="L222" s="189" t="n">
        <f aca="false">DC_Cost!L41</f>
        <v>0.7</v>
      </c>
      <c r="M222" s="189" t="n">
        <f aca="false">DC_Cost!M41</f>
        <v>0.8</v>
      </c>
      <c r="N222" s="189" t="n">
        <f aca="false">DC_Cost!N41</f>
        <v>0.9</v>
      </c>
      <c r="O222" s="189" t="n">
        <f aca="false">DC_Cost!O41</f>
        <v>0.7</v>
      </c>
      <c r="P222" s="189" t="n">
        <f aca="false">DC_Cost!P41</f>
        <v>0.8</v>
      </c>
      <c r="Q222" s="189" t="n">
        <f aca="false">DC_Cost!Q41</f>
        <v>0.9</v>
      </c>
      <c r="R222" s="177" t="str">
        <f aca="false">IF(SUM(Gov_Map!$AG$11:$AG$13)&gt;0,"C",IF(SUM(Gov_Map!$AH$11:$AH$13)&gt;0,"B","A"))</f>
        <v>A</v>
      </c>
      <c r="S222" s="42" t="str">
        <f aca="false">IF(R222="—","—",IF(R222="A","基準輸入",IF(R222="B","情境、相對比較、反轉門檻","探索")))</f>
        <v>基準輸入</v>
      </c>
      <c r="T222" s="28" t="s">
        <v>620</v>
      </c>
      <c r="U222" s="42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3" t="s">
        <v>2667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2" t="s">
        <v>2668</v>
      </c>
      <c r="B223" s="28" t="s">
        <v>109</v>
      </c>
      <c r="C223" s="207" t="n">
        <f aca="false">DC_Cost!C42</f>
        <v>0.06</v>
      </c>
      <c r="D223" s="207" t="n">
        <f aca="false">DC_Cost!D42</f>
        <v>0.08</v>
      </c>
      <c r="E223" s="207" t="n">
        <f aca="false">DC_Cost!E42</f>
        <v>0.1</v>
      </c>
      <c r="F223" s="207" t="n">
        <f aca="false">DC_Cost!F42</f>
        <v>0.06</v>
      </c>
      <c r="G223" s="207" t="n">
        <f aca="false">DC_Cost!G42</f>
        <v>0.08</v>
      </c>
      <c r="H223" s="207" t="n">
        <f aca="false">DC_Cost!H42</f>
        <v>0.1</v>
      </c>
      <c r="I223" s="207" t="n">
        <f aca="false">DC_Cost!I42</f>
        <v>0.06</v>
      </c>
      <c r="J223" s="207" t="n">
        <f aca="false">DC_Cost!J42</f>
        <v>0.08</v>
      </c>
      <c r="K223" s="207" t="n">
        <f aca="false">DC_Cost!K42</f>
        <v>0.1</v>
      </c>
      <c r="L223" s="207" t="n">
        <f aca="false">DC_Cost!L42</f>
        <v>0.06</v>
      </c>
      <c r="M223" s="207" t="n">
        <f aca="false">DC_Cost!M42</f>
        <v>0.08</v>
      </c>
      <c r="N223" s="207" t="n">
        <f aca="false">DC_Cost!N42</f>
        <v>0.1</v>
      </c>
      <c r="O223" s="207" t="n">
        <f aca="false">DC_Cost!O42</f>
        <v>0.06</v>
      </c>
      <c r="P223" s="207" t="n">
        <f aca="false">DC_Cost!P42</f>
        <v>0.08</v>
      </c>
      <c r="Q223" s="207" t="n">
        <f aca="false">DC_Cost!Q42</f>
        <v>0.1</v>
      </c>
      <c r="R223" s="177" t="str">
        <f aca="false">IF(SUM(Gov_Map!$AG$14:$AG$16)&gt;0,"C",IF(SUM(Gov_Map!$AH$14:$AH$16)&gt;0,"B","A"))</f>
        <v>A</v>
      </c>
      <c r="S223" s="42" t="str">
        <f aca="false">IF(R223="—","—",IF(R223="A","基準輸入",IF(R223="B","情境、相對比較、反轉門檻","探索")))</f>
        <v>基準輸入</v>
      </c>
      <c r="T223" s="28" t="s">
        <v>620</v>
      </c>
      <c r="U223" s="42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3" t="s">
        <v>2667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2" t="s">
        <v>2669</v>
      </c>
      <c r="B224" s="28" t="s">
        <v>1814</v>
      </c>
      <c r="C224" s="44" t="n">
        <f aca="false">(DC_Cost!C44)/CTL_GW</f>
        <v>0.219436730882534</v>
      </c>
      <c r="D224" s="44" t="n">
        <f aca="false">(DC_Cost!D44)/CTL_GW</f>
        <v>0.43259841019734</v>
      </c>
      <c r="E224" s="44" t="n">
        <f aca="false">(DC_Cost!E44)/CTL_GW</f>
        <v>0.6226274060112</v>
      </c>
      <c r="F224" s="44" t="n">
        <f aca="false">(DC_Cost!F44)/CTL_GW</f>
        <v>0.211437133315623</v>
      </c>
      <c r="G224" s="44" t="n">
        <f aca="false">(DC_Cost!G44)/CTL_GW</f>
        <v>0.377638868712999</v>
      </c>
      <c r="H224" s="44" t="n">
        <f aca="false">(DC_Cost!H44)/CTL_GW</f>
        <v>0.504554512175472</v>
      </c>
      <c r="I224" s="44" t="n">
        <f aca="false">(DC_Cost!I44)/CTL_GW</f>
        <v>0.292526406475813</v>
      </c>
      <c r="J224" s="44" t="n">
        <f aca="false">(DC_Cost!J44)/CTL_GW</f>
        <v>0.506930693144573</v>
      </c>
      <c r="K224" s="44" t="n">
        <f aca="false">(DC_Cost!K44)/CTL_GW</f>
        <v>0.716819883947515</v>
      </c>
      <c r="L224" s="44" t="n">
        <f aca="false">(DC_Cost!L44)/CTL_GW</f>
        <v>0.340864378836638</v>
      </c>
      <c r="M224" s="44" t="n">
        <f aca="false">(DC_Cost!M44)/CTL_GW</f>
        <v>0.591045788314028</v>
      </c>
      <c r="N224" s="44" t="n">
        <f aca="false">(DC_Cost!N44)/CTL_GW</f>
        <v>0.778040575909124</v>
      </c>
      <c r="O224" s="44" t="n">
        <f aca="false">(DC_Cost!O44)/CTL_GW</f>
        <v>0.367214637035091</v>
      </c>
      <c r="P224" s="44" t="n">
        <f aca="false">(DC_Cost!P44)/CTL_GW</f>
        <v>0.787599427670528</v>
      </c>
      <c r="Q224" s="44" t="n">
        <f aca="false">(DC_Cost!Q44)/CTL_GW</f>
        <v>1.19489227186978</v>
      </c>
      <c r="R224" s="177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2" t="str">
        <f aca="false">IF(R224="—","—",IF(R224="A","基準輸入",IF(R224="B","情境、相對比較、反轉門檻","探索")))</f>
        <v>情境、相對比較、反轉門檻</v>
      </c>
      <c r="T224" s="28" t="s">
        <v>620</v>
      </c>
      <c r="U224" s="42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3" t="s">
        <v>2670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2" t="s">
        <v>2671</v>
      </c>
      <c r="B225" s="28" t="s">
        <v>1814</v>
      </c>
      <c r="C225" s="44" t="n">
        <f aca="false">(DC_Cost!C45)/CTL_GW</f>
        <v>0.15318</v>
      </c>
      <c r="D225" s="44" t="n">
        <f aca="false">(DC_Cost!D45)/CTL_GW</f>
        <v>0.2534</v>
      </c>
      <c r="E225" s="44" t="n">
        <f aca="false">(DC_Cost!E45)/CTL_GW</f>
        <v>0.40465</v>
      </c>
      <c r="F225" s="44" t="n">
        <f aca="false">(DC_Cost!F45)/CTL_GW</f>
        <v>0.15318</v>
      </c>
      <c r="G225" s="44" t="n">
        <f aca="false">(DC_Cost!G45)/CTL_GW</f>
        <v>0.2534</v>
      </c>
      <c r="H225" s="44" t="n">
        <f aca="false">(DC_Cost!H45)/CTL_GW</f>
        <v>0.40465</v>
      </c>
      <c r="I225" s="44" t="n">
        <f aca="false">(DC_Cost!I45)/CTL_GW</f>
        <v>0.15318</v>
      </c>
      <c r="J225" s="44" t="n">
        <f aca="false">(DC_Cost!J45)/CTL_GW</f>
        <v>0.2534</v>
      </c>
      <c r="K225" s="44" t="n">
        <f aca="false">(DC_Cost!K45)/CTL_GW</f>
        <v>0.40465</v>
      </c>
      <c r="L225" s="44" t="n">
        <f aca="false">(DC_Cost!L45)/CTL_GW</f>
        <v>0.15318</v>
      </c>
      <c r="M225" s="44" t="n">
        <f aca="false">(DC_Cost!M45)/CTL_GW</f>
        <v>0.2534</v>
      </c>
      <c r="N225" s="44" t="n">
        <f aca="false">(DC_Cost!N45)/CTL_GW</f>
        <v>0.40465</v>
      </c>
      <c r="O225" s="44" t="n">
        <f aca="false">(DC_Cost!O45)/CTL_GW</f>
        <v>0.15318</v>
      </c>
      <c r="P225" s="44" t="n">
        <f aca="false">(DC_Cost!P45)/CTL_GW</f>
        <v>0.2534</v>
      </c>
      <c r="Q225" s="44" t="n">
        <f aca="false">(DC_Cost!Q45)/CTL_GW</f>
        <v>0.40465</v>
      </c>
      <c r="R225" s="177" t="str">
        <f aca="false">IF(SUM(Gov_Map!$AG$5,Gov_Map!$AG$23:$AG$40,Gov_Map!$AG$47:$AG$49)&gt;0,"C",IF(SUM(Gov_Map!$AH$5,Gov_Map!$AH$23:$AH$40,Gov_Map!$AH$47:$AH$49)&gt;0,"B","A"))</f>
        <v>A</v>
      </c>
      <c r="S225" s="42" t="str">
        <f aca="false">IF(R225="—","—",IF(R225="A","基準輸入",IF(R225="B","情境、相對比較、反轉門檻","探索")))</f>
        <v>基準輸入</v>
      </c>
      <c r="T225" s="28" t="s">
        <v>620</v>
      </c>
      <c r="U225" s="42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3" t="s">
        <v>2672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2" t="s">
        <v>2673</v>
      </c>
      <c r="B226" s="28" t="s">
        <v>1814</v>
      </c>
      <c r="C226" s="44" t="n">
        <f aca="false">(DC_Cost!C46)/CTL_GW</f>
        <v>0.24</v>
      </c>
      <c r="D226" s="44" t="n">
        <f aca="false">(DC_Cost!D46)/CTL_GW</f>
        <v>0.325</v>
      </c>
      <c r="E226" s="44" t="n">
        <f aca="false">(DC_Cost!E46)/CTL_GW</f>
        <v>0.41</v>
      </c>
      <c r="F226" s="44" t="n">
        <f aca="false">(DC_Cost!F46)/CTL_GW</f>
        <v>0.24</v>
      </c>
      <c r="G226" s="44" t="n">
        <f aca="false">(DC_Cost!G46)/CTL_GW</f>
        <v>0.325</v>
      </c>
      <c r="H226" s="44" t="n">
        <f aca="false">(DC_Cost!H46)/CTL_GW</f>
        <v>0.41</v>
      </c>
      <c r="I226" s="44" t="n">
        <f aca="false">(DC_Cost!I46)/CTL_GW</f>
        <v>0.24</v>
      </c>
      <c r="J226" s="44" t="n">
        <f aca="false">(DC_Cost!J46)/CTL_GW</f>
        <v>0.325</v>
      </c>
      <c r="K226" s="44" t="n">
        <f aca="false">(DC_Cost!K46)/CTL_GW</f>
        <v>0.41</v>
      </c>
      <c r="L226" s="44" t="n">
        <f aca="false">(DC_Cost!L46)/CTL_GW</f>
        <v>0.24</v>
      </c>
      <c r="M226" s="44" t="n">
        <f aca="false">(DC_Cost!M46)/CTL_GW</f>
        <v>0.325</v>
      </c>
      <c r="N226" s="44" t="n">
        <f aca="false">(DC_Cost!N46)/CTL_GW</f>
        <v>0.41</v>
      </c>
      <c r="O226" s="44" t="n">
        <f aca="false">(DC_Cost!O46)/CTL_GW</f>
        <v>0.24</v>
      </c>
      <c r="P226" s="44" t="n">
        <f aca="false">(DC_Cost!P46)/CTL_GW</f>
        <v>0.325</v>
      </c>
      <c r="Q226" s="44" t="n">
        <f aca="false">(DC_Cost!Q46)/CTL_GW</f>
        <v>0.41</v>
      </c>
      <c r="R226" s="177" t="str">
        <f aca="false">IF(SUM(Gov_Map!$AG$5,Gov_Map!$AG$50:$AG$58)&gt;0,"C",IF(SUM(Gov_Map!$AH$5,Gov_Map!$AH$50:$AH$58)&gt;0,"B","A"))</f>
        <v>A</v>
      </c>
      <c r="S226" s="42" t="str">
        <f aca="false">IF(R226="—","—",IF(R226="A","基準輸入",IF(R226="B","情境、相對比較、反轉門檻","探索")))</f>
        <v>基準輸入</v>
      </c>
      <c r="T226" s="28" t="s">
        <v>620</v>
      </c>
      <c r="U226" s="42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3" t="s">
        <v>2427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2" t="s">
        <v>2674</v>
      </c>
      <c r="B227" s="28" t="s">
        <v>1814</v>
      </c>
      <c r="C227" s="44" t="n">
        <f aca="false">(DC_Cost!C47)/CTL_GW</f>
        <v>0.0948968082</v>
      </c>
      <c r="D227" s="44" t="n">
        <f aca="false">(DC_Cost!D47)/CTL_GW</f>
        <v>0.20090107</v>
      </c>
      <c r="E227" s="44" t="n">
        <f aca="false">(DC_Cost!E47)/CTL_GW</f>
        <v>0.4024539472</v>
      </c>
      <c r="F227" s="44" t="n">
        <f aca="false">(DC_Cost!F47)/CTL_GW</f>
        <v>0.0925541712</v>
      </c>
      <c r="G227" s="44" t="n">
        <f aca="false">(DC_Cost!G47)/CTL_GW</f>
        <v>0.18342587</v>
      </c>
      <c r="H227" s="44" t="n">
        <f aca="false">(DC_Cost!H47)/CTL_GW</f>
        <v>0.3506896352</v>
      </c>
      <c r="I227" s="44" t="n">
        <f aca="false">(DC_Cost!I47)/CTL_GW</f>
        <v>0.1163007072</v>
      </c>
      <c r="J227" s="44" t="n">
        <f aca="false">(DC_Cost!J47)/CTL_GW</f>
        <v>0.22453612</v>
      </c>
      <c r="K227" s="44" t="n">
        <f aca="false">(DC_Cost!K47)/CTL_GW</f>
        <v>0.4437488512</v>
      </c>
      <c r="L227" s="44" t="n">
        <f aca="false">(DC_Cost!L47)/CTL_GW</f>
        <v>0.1304562096</v>
      </c>
      <c r="M227" s="44" t="n">
        <f aca="false">(DC_Cost!M47)/CTL_GW</f>
        <v>0.25128176</v>
      </c>
      <c r="N227" s="44" t="n">
        <f aca="false">(DC_Cost!N47)/CTL_GW</f>
        <v>0.4705886016</v>
      </c>
      <c r="O227" s="44" t="n">
        <f aca="false">(DC_Cost!O47)/CTL_GW</f>
        <v>0.138172734</v>
      </c>
      <c r="P227" s="44" t="n">
        <f aca="false">(DC_Cost!P47)/CTL_GW</f>
        <v>0.3137789</v>
      </c>
      <c r="Q227" s="44" t="n">
        <f aca="false">(DC_Cost!Q47)/CTL_GW</f>
        <v>0.653340464</v>
      </c>
      <c r="R227" s="177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2" t="str">
        <f aca="false">IF(R227="—","—",IF(R227="A","基準輸入",IF(R227="B","情境、相對比較、反轉門檻","探索")))</f>
        <v>情境、相對比較、反轉門檻</v>
      </c>
      <c r="T227" s="28" t="s">
        <v>620</v>
      </c>
      <c r="U227" s="42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3" t="s">
        <v>2675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2" t="s">
        <v>2676</v>
      </c>
      <c r="B228" s="28" t="s">
        <v>1814</v>
      </c>
      <c r="C228" s="44" t="n">
        <f aca="false">(DC_Cost!C48)/CTL_GW</f>
        <v>1.11222553908253</v>
      </c>
      <c r="D228" s="44" t="n">
        <f aca="false">(DC_Cost!D48)/CTL_GW</f>
        <v>1.88466748019734</v>
      </c>
      <c r="E228" s="44" t="n">
        <f aca="false">(DC_Cost!E48)/CTL_GW</f>
        <v>2.8646513532112</v>
      </c>
      <c r="F228" s="44" t="n">
        <f aca="false">(DC_Cost!F48)/CTL_GW</f>
        <v>1.10188330451562</v>
      </c>
      <c r="G228" s="44" t="n">
        <f aca="false">(DC_Cost!G48)/CTL_GW</f>
        <v>1.812232738713</v>
      </c>
      <c r="H228" s="44" t="n">
        <f aca="false">(DC_Cost!H48)/CTL_GW</f>
        <v>2.69481414737547</v>
      </c>
      <c r="I228" s="44" t="n">
        <f aca="false">(DC_Cost!I48)/CTL_GW</f>
        <v>1.20671911367581</v>
      </c>
      <c r="J228" s="44" t="n">
        <f aca="false">(DC_Cost!J48)/CTL_GW</f>
        <v>1.98263481314457</v>
      </c>
      <c r="K228" s="44" t="n">
        <f aca="false">(DC_Cost!K48)/CTL_GW</f>
        <v>3.00013873514752</v>
      </c>
      <c r="L228" s="44" t="n">
        <f aca="false">(DC_Cost!L48)/CTL_GW</f>
        <v>1.26921258843664</v>
      </c>
      <c r="M228" s="44" t="n">
        <f aca="false">(DC_Cost!M48)/CTL_GW</f>
        <v>2.09349554831403</v>
      </c>
      <c r="N228" s="44" t="n">
        <f aca="false">(DC_Cost!N48)/CTL_GW</f>
        <v>3.08819917750912</v>
      </c>
      <c r="O228" s="44" t="n">
        <f aca="false">(DC_Cost!O48)/CTL_GW</f>
        <v>1.30327937103509</v>
      </c>
      <c r="P228" s="44" t="n">
        <f aca="false">(DC_Cost!P48)/CTL_GW</f>
        <v>2.35254632767053</v>
      </c>
      <c r="Q228" s="44" t="n">
        <f aca="false">(DC_Cost!Q48)/CTL_GW</f>
        <v>3.68780273586978</v>
      </c>
      <c r="R228" s="177" t="str">
        <f aca="false">IF(SUM(Gov_Map!$AG$5:$AG$64,Gov_Map!$AG$69:$AG$103,Gov_Map!$AG$605:$AG$611)&gt;0,"C",IF(SUM(Gov_Map!$AH$5:$AH$64,Gov_Map!$AH$69:$AH$103,Gov_Map!$AH$605:$AH$611)&gt;0,"B","A"))</f>
        <v>B</v>
      </c>
      <c r="S228" s="42" t="str">
        <f aca="false">IF(R228="—","—",IF(R228="A","基準輸入",IF(R228="B","情境、相對比較、反轉門檻","探索")))</f>
        <v>情境、相對比較、反轉門檻</v>
      </c>
      <c r="T228" s="28" t="s">
        <v>620</v>
      </c>
      <c r="U228" s="42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3" t="s">
        <v>2677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2" t="s">
        <v>2678</v>
      </c>
      <c r="B229" s="28" t="s">
        <v>1814</v>
      </c>
      <c r="C229" s="208" t="n">
        <f aca="false">C220+C221+C228-C12</f>
        <v>0</v>
      </c>
      <c r="D229" s="208" t="n">
        <f aca="false">D220+D221+D228-D12</f>
        <v>0</v>
      </c>
      <c r="E229" s="208" t="n">
        <f aca="false">E220+E221+E228-E12</f>
        <v>0</v>
      </c>
      <c r="F229" s="208" t="n">
        <f aca="false">F220+F221+F228-F12</f>
        <v>0</v>
      </c>
      <c r="G229" s="208" t="n">
        <f aca="false">G220+G221+G228-G12</f>
        <v>0</v>
      </c>
      <c r="H229" s="208" t="n">
        <f aca="false">H220+H221+H228-H12</f>
        <v>0</v>
      </c>
      <c r="I229" s="208" t="n">
        <f aca="false">I220+I221+I228-I12</f>
        <v>0</v>
      </c>
      <c r="J229" s="208" t="n">
        <f aca="false">J220+J221+J228-J12</f>
        <v>0</v>
      </c>
      <c r="K229" s="208" t="n">
        <f aca="false">K220+K221+K228-K12</f>
        <v>0</v>
      </c>
      <c r="L229" s="208" t="n">
        <f aca="false">L220+L221+L228-L12</f>
        <v>0</v>
      </c>
      <c r="M229" s="208" t="n">
        <f aca="false">M220+M221+M228-M12</f>
        <v>0</v>
      </c>
      <c r="N229" s="208" t="n">
        <f aca="false">N220+N221+N228-N12</f>
        <v>0</v>
      </c>
      <c r="O229" s="208" t="n">
        <f aca="false">O220+O221+O228-O12</f>
        <v>0</v>
      </c>
      <c r="P229" s="208" t="n">
        <f aca="false">P220+P221+P228-P12</f>
        <v>0</v>
      </c>
      <c r="Q229" s="208" t="n">
        <f aca="false">Q220+Q221+Q228-Q12</f>
        <v>0</v>
      </c>
      <c r="R229" s="177" t="str">
        <f aca="false">IF(SUM(Gov_Map!$AG$5:$AG$103,Gov_Map!$AG$605:$AG$611)&gt;0,"C",IF(SUM(Gov_Map!$AH$5:$AH$103,Gov_Map!$AH$605:$AH$611)&gt;0,"B","A"))</f>
        <v>B</v>
      </c>
      <c r="S229" s="42" t="str">
        <f aca="false">IF(R229="—","—",IF(R229="A","基準輸入",IF(R229="B","情境、相對比較、反轉門檻","探索")))</f>
        <v>情境、相對比較、反轉門檻</v>
      </c>
      <c r="T229" s="28" t="s">
        <v>620</v>
      </c>
      <c r="U229" s="42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3" t="s">
        <v>2424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1" t="s">
        <v>2679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2680</v>
      </c>
    </row>
    <row r="233" customFormat="false" ht="15" hidden="false" customHeight="true" outlineLevel="0" collapsed="false">
      <c r="A233" s="42" t="s">
        <v>2681</v>
      </c>
      <c r="B233" s="28" t="s">
        <v>1814</v>
      </c>
      <c r="C233" s="209" t="n">
        <f aca="false">IF(ISNUMBER(C101),C101/IF_Util,C101)</f>
        <v>5.14734059867551</v>
      </c>
      <c r="D233" s="209" t="n">
        <f aca="false">IF(ISNUMBER(D101),D101/IF_Util,D101)</f>
        <v>5.14734059867551</v>
      </c>
      <c r="E233" s="209" t="n">
        <f aca="false">IF(ISNUMBER(E101),E101/IF_Util,E101)</f>
        <v>5.14734059867551</v>
      </c>
      <c r="F233" s="209" t="n">
        <f aca="false">IF(ISNUMBER(F101),F101/IF_Util,F101)</f>
        <v>29.1133717558573</v>
      </c>
      <c r="G233" s="209" t="n">
        <f aca="false">IF(ISNUMBER(G101),G101/IF_Util,G101)</f>
        <v>29.1133717558573</v>
      </c>
      <c r="H233" s="209" t="n">
        <f aca="false">IF(ISNUMBER(H101),H101/IF_Util,H101)</f>
        <v>29.1133717558573</v>
      </c>
      <c r="I233" s="209" t="n">
        <f aca="false">IF(ISNUMBER(I101),I101/IF_Util,I101)</f>
        <v>42.3854598701289</v>
      </c>
      <c r="J233" s="209" t="n">
        <f aca="false">IF(ISNUMBER(J101),J101/IF_Util,J101)</f>
        <v>42.3854598701289</v>
      </c>
      <c r="K233" s="209" t="n">
        <f aca="false">IF(ISNUMBER(K101),K101/IF_Util,K101)</f>
        <v>42.3854598701289</v>
      </c>
      <c r="L233" s="209" t="n">
        <f aca="false">IF(ISNUMBER(L101),L101/IF_Util,L101)</f>
        <v>62.0970377331622</v>
      </c>
      <c r="M233" s="209" t="n">
        <f aca="false">IF(ISNUMBER(M101),M101/IF_Util,M101)</f>
        <v>62.0970377331622</v>
      </c>
      <c r="N233" s="209" t="n">
        <f aca="false">IF(ISNUMBER(N101),N101/IF_Util,N101)</f>
        <v>62.0970377331622</v>
      </c>
      <c r="O233" s="209" t="n">
        <f aca="false">IF(ISNUMBER(O101),O101/IF_Util,O101)</f>
        <v>83.9212299203449</v>
      </c>
      <c r="P233" s="209" t="n">
        <f aca="false">IF(ISNUMBER(P101),P101/IF_Util,P101)</f>
        <v>83.9212299203449</v>
      </c>
      <c r="Q233" s="209" t="n">
        <f aca="false">IF(ISNUMBER(Q101),Q101/IF_Util,Q101)</f>
        <v>83.9212299203449</v>
      </c>
      <c r="R233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2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2430</v>
      </c>
      <c r="U233" s="42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53" t="s">
        <v>2520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2" t="s">
        <v>2682</v>
      </c>
      <c r="B234" s="28" t="s">
        <v>1814</v>
      </c>
      <c r="C234" s="209" t="n">
        <f aca="false">C101</f>
        <v>3.08840435920531</v>
      </c>
      <c r="D234" s="209" t="n">
        <f aca="false">D101</f>
        <v>3.08840435920531</v>
      </c>
      <c r="E234" s="209" t="n">
        <f aca="false">E101</f>
        <v>3.08840435920531</v>
      </c>
      <c r="F234" s="209" t="n">
        <f aca="false">F101</f>
        <v>17.4680230535144</v>
      </c>
      <c r="G234" s="209" t="n">
        <f aca="false">G101</f>
        <v>17.4680230535144</v>
      </c>
      <c r="H234" s="209" t="n">
        <f aca="false">H101</f>
        <v>17.4680230535144</v>
      </c>
      <c r="I234" s="209" t="n">
        <f aca="false">I101</f>
        <v>25.4312759220773</v>
      </c>
      <c r="J234" s="209" t="n">
        <f aca="false">J101</f>
        <v>25.4312759220773</v>
      </c>
      <c r="K234" s="209" t="n">
        <f aca="false">K101</f>
        <v>25.4312759220773</v>
      </c>
      <c r="L234" s="209" t="n">
        <f aca="false">L101</f>
        <v>37.2582226398973</v>
      </c>
      <c r="M234" s="209" t="n">
        <f aca="false">M101</f>
        <v>37.2582226398973</v>
      </c>
      <c r="N234" s="209" t="n">
        <f aca="false">N101</f>
        <v>37.2582226398973</v>
      </c>
      <c r="O234" s="209" t="n">
        <f aca="false">O101</f>
        <v>50.3527379522069</v>
      </c>
      <c r="P234" s="209" t="n">
        <f aca="false">P101</f>
        <v>50.3527379522069</v>
      </c>
      <c r="Q234" s="209" t="n">
        <f aca="false">Q101</f>
        <v>50.3527379522069</v>
      </c>
      <c r="R23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2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2455</v>
      </c>
      <c r="U234" s="42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53" t="s">
        <v>2520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2" t="s">
        <v>2683</v>
      </c>
      <c r="B235" s="28" t="s">
        <v>1814</v>
      </c>
      <c r="C235" s="209" t="n">
        <f aca="false">C207</f>
        <v>2.08411383671757</v>
      </c>
      <c r="D235" s="209" t="n">
        <f aca="false">D207</f>
        <v>2.08411383671757</v>
      </c>
      <c r="E235" s="209" t="n">
        <f aca="false">E207</f>
        <v>2.08411383671757</v>
      </c>
      <c r="F235" s="209" t="n">
        <f aca="false">F207</f>
        <v>13.6555857459493</v>
      </c>
      <c r="G235" s="209" t="n">
        <f aca="false">G207</f>
        <v>13.6555857459493</v>
      </c>
      <c r="H235" s="209" t="n">
        <f aca="false">H207</f>
        <v>13.6555857459493</v>
      </c>
      <c r="I235" s="209" t="n">
        <f aca="false">I207</f>
        <v>19.8808398591479</v>
      </c>
      <c r="J235" s="209" t="n">
        <f aca="false">J207</f>
        <v>19.8808398591479</v>
      </c>
      <c r="K235" s="209" t="n">
        <f aca="false">K207</f>
        <v>19.8808398591479</v>
      </c>
      <c r="L235" s="209" t="n">
        <f aca="false">L207</f>
        <v>29.3255549100997</v>
      </c>
      <c r="M235" s="209" t="n">
        <f aca="false">M207</f>
        <v>29.3255549100997</v>
      </c>
      <c r="N235" s="209" t="n">
        <f aca="false">N207</f>
        <v>29.3255549100997</v>
      </c>
      <c r="O235" s="209" t="n">
        <f aca="false">O207</f>
        <v>39.6992397829504</v>
      </c>
      <c r="P235" s="209" t="n">
        <f aca="false">P207</f>
        <v>39.6992397829504</v>
      </c>
      <c r="Q235" s="209" t="n">
        <f aca="false">Q207</f>
        <v>39.6992397829504</v>
      </c>
      <c r="R23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2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2641</v>
      </c>
      <c r="U235" s="42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53" t="s">
        <v>2646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2" t="s">
        <v>2684</v>
      </c>
      <c r="B236" s="28" t="s">
        <v>1814</v>
      </c>
      <c r="C236" s="209" t="n">
        <f aca="false">IF(ISNUMBER(C235),C235*CTL_PriceLife*CTL_Monetize,C235)</f>
        <v>2.08411383671757</v>
      </c>
      <c r="D236" s="209" t="n">
        <f aca="false">IF(ISNUMBER(D235),D235*CTL_PriceLife*CTL_Monetize,D235)</f>
        <v>2.08411383671757</v>
      </c>
      <c r="E236" s="209" t="n">
        <f aca="false">IF(ISNUMBER(E235),E235*CTL_PriceLife*CTL_Monetize,E235)</f>
        <v>2.08411383671757</v>
      </c>
      <c r="F236" s="209" t="n">
        <f aca="false">IF(ISNUMBER(F235),F235*CTL_PriceLife*CTL_Monetize,F235)</f>
        <v>13.6555857459493</v>
      </c>
      <c r="G236" s="209" t="n">
        <f aca="false">IF(ISNUMBER(G235),G235*CTL_PriceLife*CTL_Monetize,G235)</f>
        <v>13.6555857459493</v>
      </c>
      <c r="H236" s="209" t="n">
        <f aca="false">IF(ISNUMBER(H235),H235*CTL_PriceLife*CTL_Monetize,H235)</f>
        <v>13.6555857459493</v>
      </c>
      <c r="I236" s="209" t="n">
        <f aca="false">IF(ISNUMBER(I235),I235*CTL_PriceLife*CTL_Monetize,I235)</f>
        <v>19.8808398591479</v>
      </c>
      <c r="J236" s="209" t="n">
        <f aca="false">IF(ISNUMBER(J235),J235*CTL_PriceLife*CTL_Monetize,J235)</f>
        <v>19.8808398591479</v>
      </c>
      <c r="K236" s="209" t="n">
        <f aca="false">IF(ISNUMBER(K235),K235*CTL_PriceLife*CTL_Monetize,K235)</f>
        <v>19.8808398591479</v>
      </c>
      <c r="L236" s="209" t="n">
        <f aca="false">IF(ISNUMBER(L235),L235*CTL_PriceLife*CTL_Monetize,L235)</f>
        <v>29.3255549100997</v>
      </c>
      <c r="M236" s="209" t="n">
        <f aca="false">IF(ISNUMBER(M235),M235*CTL_PriceLife*CTL_Monetize,M235)</f>
        <v>29.3255549100997</v>
      </c>
      <c r="N236" s="209" t="n">
        <f aca="false">IF(ISNUMBER(N235),N235*CTL_PriceLife*CTL_Monetize,N235)</f>
        <v>29.3255549100997</v>
      </c>
      <c r="O236" s="209" t="n">
        <f aca="false">IF(ISNUMBER(O235),O235*CTL_PriceLife*CTL_Monetize,O235)</f>
        <v>39.6992397829504</v>
      </c>
      <c r="P236" s="209" t="n">
        <f aca="false">IF(ISNUMBER(P235),P235*CTL_PriceLife*CTL_Monetize,P235)</f>
        <v>39.6992397829504</v>
      </c>
      <c r="Q236" s="209" t="n">
        <f aca="false">IF(ISNUMBER(Q235),Q235*CTL_PriceLife*CTL_Monetize,Q235)</f>
        <v>39.6992397829504</v>
      </c>
      <c r="R23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2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2653</v>
      </c>
      <c r="U236" s="42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53" t="s">
        <v>2654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2680</v>
      </c>
    </row>
    <row r="238" customFormat="false" ht="15" hidden="false" customHeight="true" outlineLevel="0" collapsed="false">
      <c r="A238" s="42" t="s">
        <v>2685</v>
      </c>
      <c r="B238" s="28" t="s">
        <v>1814</v>
      </c>
      <c r="C238" s="209" t="n">
        <f aca="false">IF(ISNUMBER(C119),C119/IF_Util,C119)</f>
        <v>29.8868224705592</v>
      </c>
      <c r="D238" s="209" t="n">
        <f aca="false">IF(ISNUMBER(D119),D119/IF_Util,D119)</f>
        <v>29.8868224705592</v>
      </c>
      <c r="E238" s="209" t="n">
        <f aca="false">IF(ISNUMBER(E119),E119/IF_Util,E119)</f>
        <v>29.8868224705592</v>
      </c>
      <c r="F238" s="209" t="n">
        <f aca="false">IF(ISNUMBER(F119),F119/IF_Util,F119)</f>
        <v>167.34108902564</v>
      </c>
      <c r="G238" s="209" t="n">
        <f aca="false">IF(ISNUMBER(G119),G119/IF_Util,G119)</f>
        <v>167.34108902564</v>
      </c>
      <c r="H238" s="209" t="n">
        <f aca="false">IF(ISNUMBER(H119),H119/IF_Util,H119)</f>
        <v>167.34108902564</v>
      </c>
      <c r="I238" s="209" t="n">
        <f aca="false">IF(ISNUMBER(I119),I119/IF_Util,I119)</f>
        <v>243.627879072198</v>
      </c>
      <c r="J238" s="209" t="n">
        <f aca="false">IF(ISNUMBER(J119),J119/IF_Util,J119)</f>
        <v>243.627879072198</v>
      </c>
      <c r="K238" s="209" t="n">
        <f aca="false">IF(ISNUMBER(K119),K119/IF_Util,K119)</f>
        <v>243.627879072198</v>
      </c>
      <c r="L238" s="209" t="n">
        <f aca="false">IF(ISNUMBER(L119),L119/IF_Util,L119)</f>
        <v>381.347118606988</v>
      </c>
      <c r="M238" s="209" t="n">
        <f aca="false">IF(ISNUMBER(M119),M119/IF_Util,M119)</f>
        <v>381.347118606988</v>
      </c>
      <c r="N238" s="209" t="n">
        <f aca="false">IF(ISNUMBER(N119),N119/IF_Util,N119)</f>
        <v>381.347118606988</v>
      </c>
      <c r="O238" s="209" t="n">
        <f aca="false">IF(ISNUMBER(O119),O119/IF_Util,O119)</f>
        <v>524.216615381698</v>
      </c>
      <c r="P238" s="209" t="n">
        <f aca="false">IF(ISNUMBER(P119),P119/IF_Util,P119)</f>
        <v>524.216615381698</v>
      </c>
      <c r="Q238" s="209" t="n">
        <f aca="false">IF(ISNUMBER(Q119),Q119/IF_Util,Q119)</f>
        <v>524.216615381698</v>
      </c>
      <c r="R238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2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2430</v>
      </c>
      <c r="U238" s="42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53" t="s">
        <v>2520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2" t="s">
        <v>2686</v>
      </c>
      <c r="B239" s="28" t="s">
        <v>1814</v>
      </c>
      <c r="C239" s="209" t="n">
        <f aca="false">C119</f>
        <v>17.9320934823355</v>
      </c>
      <c r="D239" s="209" t="n">
        <f aca="false">D119</f>
        <v>17.9320934823355</v>
      </c>
      <c r="E239" s="209" t="n">
        <f aca="false">E119</f>
        <v>17.9320934823355</v>
      </c>
      <c r="F239" s="209" t="n">
        <f aca="false">F119</f>
        <v>100.404653415384</v>
      </c>
      <c r="G239" s="209" t="n">
        <f aca="false">G119</f>
        <v>100.404653415384</v>
      </c>
      <c r="H239" s="209" t="n">
        <f aca="false">H119</f>
        <v>100.404653415384</v>
      </c>
      <c r="I239" s="209" t="n">
        <f aca="false">I119</f>
        <v>146.176727443319</v>
      </c>
      <c r="J239" s="209" t="n">
        <f aca="false">J119</f>
        <v>146.176727443319</v>
      </c>
      <c r="K239" s="209" t="n">
        <f aca="false">K119</f>
        <v>146.176727443319</v>
      </c>
      <c r="L239" s="209" t="n">
        <f aca="false">L119</f>
        <v>228.808271164193</v>
      </c>
      <c r="M239" s="209" t="n">
        <f aca="false">M119</f>
        <v>228.808271164193</v>
      </c>
      <c r="N239" s="209" t="n">
        <f aca="false">N119</f>
        <v>228.808271164193</v>
      </c>
      <c r="O239" s="209" t="n">
        <f aca="false">O119</f>
        <v>314.529969229019</v>
      </c>
      <c r="P239" s="209" t="n">
        <f aca="false">P119</f>
        <v>314.529969229019</v>
      </c>
      <c r="Q239" s="209" t="n">
        <f aca="false">Q119</f>
        <v>314.529969229019</v>
      </c>
      <c r="R239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2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2455</v>
      </c>
      <c r="U239" s="42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53" t="s">
        <v>2520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2" t="s">
        <v>2687</v>
      </c>
      <c r="B240" s="28" t="s">
        <v>1814</v>
      </c>
      <c r="C240" s="209" t="n">
        <f aca="false">C208</f>
        <v>12.9469345365415</v>
      </c>
      <c r="D240" s="209" t="n">
        <f aca="false">D208</f>
        <v>12.9469345365415</v>
      </c>
      <c r="E240" s="209" t="n">
        <f aca="false">E208</f>
        <v>12.9469345365415</v>
      </c>
      <c r="F240" s="209" t="n">
        <f aca="false">F208</f>
        <v>80.1519532436076</v>
      </c>
      <c r="G240" s="209" t="n">
        <f aca="false">G208</f>
        <v>80.1519532436076</v>
      </c>
      <c r="H240" s="209" t="n">
        <f aca="false">H208</f>
        <v>80.1519532436076</v>
      </c>
      <c r="I240" s="209" t="n">
        <f aca="false">I208</f>
        <v>116.69130687468</v>
      </c>
      <c r="J240" s="209" t="n">
        <f aca="false">J208</f>
        <v>116.69130687468</v>
      </c>
      <c r="K240" s="209" t="n">
        <f aca="false">K208</f>
        <v>116.69130687468</v>
      </c>
      <c r="L240" s="209" t="n">
        <f aca="false">L208</f>
        <v>184.79597204631</v>
      </c>
      <c r="M240" s="209" t="n">
        <f aca="false">M208</f>
        <v>184.79597204631</v>
      </c>
      <c r="N240" s="209" t="n">
        <f aca="false">N208</f>
        <v>184.79597204631</v>
      </c>
      <c r="O240" s="209" t="n">
        <f aca="false">O208</f>
        <v>254.725350558298</v>
      </c>
      <c r="P240" s="209" t="n">
        <f aca="false">P208</f>
        <v>254.725350558298</v>
      </c>
      <c r="Q240" s="209" t="n">
        <f aca="false">Q208</f>
        <v>254.725350558298</v>
      </c>
      <c r="R240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2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2641</v>
      </c>
      <c r="U240" s="42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53" t="s">
        <v>2646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2" t="s">
        <v>2688</v>
      </c>
      <c r="B241" s="28" t="s">
        <v>1814</v>
      </c>
      <c r="C241" s="209" t="n">
        <f aca="false">IF(ISNUMBER(C240),C240*CTL_PriceLife*CTL_Monetize,C240)</f>
        <v>12.9469345365415</v>
      </c>
      <c r="D241" s="209" t="n">
        <f aca="false">IF(ISNUMBER(D240),D240*CTL_PriceLife*CTL_Monetize,D240)</f>
        <v>12.9469345365415</v>
      </c>
      <c r="E241" s="209" t="n">
        <f aca="false">IF(ISNUMBER(E240),E240*CTL_PriceLife*CTL_Monetize,E240)</f>
        <v>12.9469345365415</v>
      </c>
      <c r="F241" s="209" t="n">
        <f aca="false">IF(ISNUMBER(F240),F240*CTL_PriceLife*CTL_Monetize,F240)</f>
        <v>80.1519532436076</v>
      </c>
      <c r="G241" s="209" t="n">
        <f aca="false">IF(ISNUMBER(G240),G240*CTL_PriceLife*CTL_Monetize,G240)</f>
        <v>80.1519532436076</v>
      </c>
      <c r="H241" s="209" t="n">
        <f aca="false">IF(ISNUMBER(H240),H240*CTL_PriceLife*CTL_Monetize,H240)</f>
        <v>80.1519532436076</v>
      </c>
      <c r="I241" s="209" t="n">
        <f aca="false">IF(ISNUMBER(I240),I240*CTL_PriceLife*CTL_Monetize,I240)</f>
        <v>116.69130687468</v>
      </c>
      <c r="J241" s="209" t="n">
        <f aca="false">IF(ISNUMBER(J240),J240*CTL_PriceLife*CTL_Monetize,J240)</f>
        <v>116.69130687468</v>
      </c>
      <c r="K241" s="209" t="n">
        <f aca="false">IF(ISNUMBER(K240),K240*CTL_PriceLife*CTL_Monetize,K240)</f>
        <v>116.69130687468</v>
      </c>
      <c r="L241" s="209" t="n">
        <f aca="false">IF(ISNUMBER(L240),L240*CTL_PriceLife*CTL_Monetize,L240)</f>
        <v>184.79597204631</v>
      </c>
      <c r="M241" s="209" t="n">
        <f aca="false">IF(ISNUMBER(M240),M240*CTL_PriceLife*CTL_Monetize,M240)</f>
        <v>184.79597204631</v>
      </c>
      <c r="N241" s="209" t="n">
        <f aca="false">IF(ISNUMBER(N240),N240*CTL_PriceLife*CTL_Monetize,N240)</f>
        <v>184.79597204631</v>
      </c>
      <c r="O241" s="209" t="n">
        <f aca="false">IF(ISNUMBER(O240),O240*CTL_PriceLife*CTL_Monetize,O240)</f>
        <v>254.725350558298</v>
      </c>
      <c r="P241" s="209" t="n">
        <f aca="false">IF(ISNUMBER(P240),P240*CTL_PriceLife*CTL_Monetize,P240)</f>
        <v>254.725350558298</v>
      </c>
      <c r="Q241" s="209" t="n">
        <f aca="false">IF(ISNUMBER(Q240),Q240*CTL_PriceLife*CTL_Monetize,Q240)</f>
        <v>254.725350558298</v>
      </c>
      <c r="R241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2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2653</v>
      </c>
      <c r="U241" s="42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53" t="s">
        <v>2654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2680</v>
      </c>
    </row>
    <row r="243" customFormat="false" ht="15" hidden="false" customHeight="true" outlineLevel="0" collapsed="false">
      <c r="A243" s="42" t="s">
        <v>2689</v>
      </c>
      <c r="B243" s="28" t="s">
        <v>1814</v>
      </c>
      <c r="C243" s="209" t="str">
        <f aca="false">IF(ISNUMBER(C137),C137/IF_Util,C137)</f>
        <v>TTFT 不可達</v>
      </c>
      <c r="D243" s="209" t="str">
        <f aca="false">IF(ISNUMBER(D137),D137/IF_Util,D137)</f>
        <v>TTFT 不可達</v>
      </c>
      <c r="E243" s="209" t="str">
        <f aca="false">IF(ISNUMBER(E137),E137/IF_Util,E137)</f>
        <v>TTFT 不可達</v>
      </c>
      <c r="F243" s="209" t="n">
        <f aca="false">IF(ISNUMBER(F137),F137/IF_Util,F137)</f>
        <v>161.047308022036</v>
      </c>
      <c r="G243" s="209" t="n">
        <f aca="false">IF(ISNUMBER(G137),G137/IF_Util,G137)</f>
        <v>161.047308022036</v>
      </c>
      <c r="H243" s="209" t="n">
        <f aca="false">IF(ISNUMBER(H137),H137/IF_Util,H137)</f>
        <v>161.047308022036</v>
      </c>
      <c r="I243" s="209" t="n">
        <f aca="false">IF(ISNUMBER(I137),I137/IF_Util,I137)</f>
        <v>194.735562009066</v>
      </c>
      <c r="J243" s="209" t="n">
        <f aca="false">IF(ISNUMBER(J137),J137/IF_Util,J137)</f>
        <v>194.735562009066</v>
      </c>
      <c r="K243" s="209" t="n">
        <f aca="false">IF(ISNUMBER(K137),K137/IF_Util,K137)</f>
        <v>194.735562009066</v>
      </c>
      <c r="L243" s="209" t="n">
        <f aca="false">IF(ISNUMBER(L137),L137/IF_Util,L137)</f>
        <v>411.162427187643</v>
      </c>
      <c r="M243" s="209" t="n">
        <f aca="false">IF(ISNUMBER(M137),M137/IF_Util,M137)</f>
        <v>411.162427187643</v>
      </c>
      <c r="N243" s="209" t="n">
        <f aca="false">IF(ISNUMBER(N137),N137/IF_Util,N137)</f>
        <v>411.162427187643</v>
      </c>
      <c r="O243" s="209" t="n">
        <f aca="false">IF(ISNUMBER(O137),O137/IF_Util,O137)</f>
        <v>597.853015258317</v>
      </c>
      <c r="P243" s="209" t="n">
        <f aca="false">IF(ISNUMBER(P137),P137/IF_Util,P137)</f>
        <v>597.853015258317</v>
      </c>
      <c r="Q243" s="209" t="n">
        <f aca="false">IF(ISNUMBER(Q137),Q137/IF_Util,Q137)</f>
        <v>597.853015258317</v>
      </c>
      <c r="R243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2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2430</v>
      </c>
      <c r="U243" s="42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53" t="s">
        <v>2520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2" t="s">
        <v>2690</v>
      </c>
      <c r="B244" s="28" t="s">
        <v>1814</v>
      </c>
      <c r="C244" s="209" t="str">
        <f aca="false">C137</f>
        <v>TTFT 不可達</v>
      </c>
      <c r="D244" s="209" t="str">
        <f aca="false">D137</f>
        <v>TTFT 不可達</v>
      </c>
      <c r="E244" s="209" t="str">
        <f aca="false">E137</f>
        <v>TTFT 不可達</v>
      </c>
      <c r="F244" s="209" t="n">
        <f aca="false">F137</f>
        <v>96.6283848132214</v>
      </c>
      <c r="G244" s="209" t="n">
        <f aca="false">G137</f>
        <v>96.6283848132214</v>
      </c>
      <c r="H244" s="209" t="n">
        <f aca="false">H137</f>
        <v>96.6283848132214</v>
      </c>
      <c r="I244" s="209" t="n">
        <f aca="false">I137</f>
        <v>116.841337205439</v>
      </c>
      <c r="J244" s="209" t="n">
        <f aca="false">J137</f>
        <v>116.841337205439</v>
      </c>
      <c r="K244" s="209" t="n">
        <f aca="false">K137</f>
        <v>116.841337205439</v>
      </c>
      <c r="L244" s="209" t="n">
        <f aca="false">L137</f>
        <v>246.697456312585</v>
      </c>
      <c r="M244" s="209" t="n">
        <f aca="false">M137</f>
        <v>246.697456312585</v>
      </c>
      <c r="N244" s="209" t="n">
        <f aca="false">N137</f>
        <v>246.697456312585</v>
      </c>
      <c r="O244" s="209" t="n">
        <f aca="false">O137</f>
        <v>358.71180915499</v>
      </c>
      <c r="P244" s="209" t="n">
        <f aca="false">P137</f>
        <v>358.71180915499</v>
      </c>
      <c r="Q244" s="209" t="n">
        <f aca="false">Q137</f>
        <v>358.71180915499</v>
      </c>
      <c r="R24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2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2455</v>
      </c>
      <c r="U244" s="42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53" t="s">
        <v>2520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2" t="s">
        <v>2691</v>
      </c>
      <c r="B245" s="28" t="s">
        <v>1814</v>
      </c>
      <c r="C245" s="209" t="str">
        <f aca="false">C209</f>
        <v>TTFT 不可達</v>
      </c>
      <c r="D245" s="209" t="str">
        <f aca="false">D209</f>
        <v>TTFT 不可達</v>
      </c>
      <c r="E245" s="209" t="str">
        <f aca="false">E209</f>
        <v>TTFT 不可達</v>
      </c>
      <c r="F245" s="209" t="n">
        <f aca="false">F209</f>
        <v>70.8060260045462</v>
      </c>
      <c r="G245" s="209" t="n">
        <f aca="false">G209</f>
        <v>70.8060260045462</v>
      </c>
      <c r="H245" s="209" t="n">
        <f aca="false">H209</f>
        <v>70.8060260045462</v>
      </c>
      <c r="I245" s="209" t="n">
        <f aca="false">I209</f>
        <v>81.6810591163036</v>
      </c>
      <c r="J245" s="209" t="n">
        <f aca="false">J209</f>
        <v>81.6810591163036</v>
      </c>
      <c r="K245" s="209" t="n">
        <f aca="false">K209</f>
        <v>81.6810591163036</v>
      </c>
      <c r="L245" s="209" t="n">
        <f aca="false">L209</f>
        <v>188.934678809326</v>
      </c>
      <c r="M245" s="209" t="n">
        <f aca="false">M209</f>
        <v>188.934678809326</v>
      </c>
      <c r="N245" s="209" t="n">
        <f aca="false">N209</f>
        <v>188.934678809326</v>
      </c>
      <c r="O245" s="209" t="n">
        <f aca="false">O209</f>
        <v>278.482692813541</v>
      </c>
      <c r="P245" s="209" t="n">
        <f aca="false">P209</f>
        <v>278.482692813541</v>
      </c>
      <c r="Q245" s="209" t="n">
        <f aca="false">Q209</f>
        <v>278.482692813541</v>
      </c>
      <c r="R24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2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2641</v>
      </c>
      <c r="U245" s="42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53" t="s">
        <v>2646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2" t="s">
        <v>2692</v>
      </c>
      <c r="B246" s="28" t="s">
        <v>1814</v>
      </c>
      <c r="C246" s="209" t="str">
        <f aca="false">IF(ISNUMBER(C245),C245*CTL_PriceLife*CTL_Monetize,C245)</f>
        <v>TTFT 不可達</v>
      </c>
      <c r="D246" s="209" t="str">
        <f aca="false">IF(ISNUMBER(D245),D245*CTL_PriceLife*CTL_Monetize,D245)</f>
        <v>TTFT 不可達</v>
      </c>
      <c r="E246" s="209" t="str">
        <f aca="false">IF(ISNUMBER(E245),E245*CTL_PriceLife*CTL_Monetize,E245)</f>
        <v>TTFT 不可達</v>
      </c>
      <c r="F246" s="209" t="n">
        <f aca="false">IF(ISNUMBER(F245),F245*CTL_PriceLife*CTL_Monetize,F245)</f>
        <v>70.8060260045462</v>
      </c>
      <c r="G246" s="209" t="n">
        <f aca="false">IF(ISNUMBER(G245),G245*CTL_PriceLife*CTL_Monetize,G245)</f>
        <v>70.8060260045462</v>
      </c>
      <c r="H246" s="209" t="n">
        <f aca="false">IF(ISNUMBER(H245),H245*CTL_PriceLife*CTL_Monetize,H245)</f>
        <v>70.8060260045462</v>
      </c>
      <c r="I246" s="209" t="n">
        <f aca="false">IF(ISNUMBER(I245),I245*CTL_PriceLife*CTL_Monetize,I245)</f>
        <v>81.6810591163036</v>
      </c>
      <c r="J246" s="209" t="n">
        <f aca="false">IF(ISNUMBER(J245),J245*CTL_PriceLife*CTL_Monetize,J245)</f>
        <v>81.6810591163036</v>
      </c>
      <c r="K246" s="209" t="n">
        <f aca="false">IF(ISNUMBER(K245),K245*CTL_PriceLife*CTL_Monetize,K245)</f>
        <v>81.6810591163036</v>
      </c>
      <c r="L246" s="209" t="n">
        <f aca="false">IF(ISNUMBER(L245),L245*CTL_PriceLife*CTL_Monetize,L245)</f>
        <v>188.934678809326</v>
      </c>
      <c r="M246" s="209" t="n">
        <f aca="false">IF(ISNUMBER(M245),M245*CTL_PriceLife*CTL_Monetize,M245)</f>
        <v>188.934678809326</v>
      </c>
      <c r="N246" s="209" t="n">
        <f aca="false">IF(ISNUMBER(N245),N245*CTL_PriceLife*CTL_Monetize,N245)</f>
        <v>188.934678809326</v>
      </c>
      <c r="O246" s="209" t="n">
        <f aca="false">IF(ISNUMBER(O245),O245*CTL_PriceLife*CTL_Monetize,O245)</f>
        <v>278.482692813541</v>
      </c>
      <c r="P246" s="209" t="n">
        <f aca="false">IF(ISNUMBER(P245),P245*CTL_PriceLife*CTL_Monetize,P245)</f>
        <v>278.482692813541</v>
      </c>
      <c r="Q246" s="209" t="n">
        <f aca="false">IF(ISNUMBER(Q245),Q245*CTL_PriceLife*CTL_Monetize,Q245)</f>
        <v>278.482692813541</v>
      </c>
      <c r="R24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2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2653</v>
      </c>
      <c r="U246" s="42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53" t="s">
        <v>2654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2693</v>
      </c>
    </row>
    <row r="248" customFormat="false" ht="15" hidden="false" customHeight="true" outlineLevel="0" collapsed="false">
      <c r="A248" s="42" t="s">
        <v>2694</v>
      </c>
      <c r="B248" s="28" t="s">
        <v>1814</v>
      </c>
      <c r="C248" s="209" t="n">
        <f aca="false">IF(ISNUMBER(C143),C143/IF_Util,C143)</f>
        <v>5.49341814598317</v>
      </c>
      <c r="D248" s="209" t="n">
        <f aca="false">IF(ISNUMBER(D143),D143/IF_Util,D143)</f>
        <v>5.49341814598317</v>
      </c>
      <c r="E248" s="209" t="n">
        <f aca="false">IF(ISNUMBER(E143),E143/IF_Util,E143)</f>
        <v>5.49341814598317</v>
      </c>
      <c r="F248" s="209" t="n">
        <f aca="false">IF(ISNUMBER(F143),F143/IF_Util,F143)</f>
        <v>33.6243597685213</v>
      </c>
      <c r="G248" s="209" t="n">
        <f aca="false">IF(ISNUMBER(G143),G143/IF_Util,G143)</f>
        <v>33.6243597685213</v>
      </c>
      <c r="H248" s="209" t="n">
        <f aca="false">IF(ISNUMBER(H143),H143/IF_Util,H143)</f>
        <v>33.6243597685213</v>
      </c>
      <c r="I248" s="209" t="n">
        <f aca="false">IF(ISNUMBER(I143),I143/IF_Util,I143)</f>
        <v>43.7753928327944</v>
      </c>
      <c r="J248" s="209" t="n">
        <f aca="false">IF(ISNUMBER(J143),J143/IF_Util,J143)</f>
        <v>43.7753928327944</v>
      </c>
      <c r="K248" s="209" t="n">
        <f aca="false">IF(ISNUMBER(K143),K143/IF_Util,K143)</f>
        <v>43.7753928327944</v>
      </c>
      <c r="L248" s="209" t="n">
        <f aca="false">IF(ISNUMBER(L143),L143/IF_Util,L143)</f>
        <v>81.2061699399891</v>
      </c>
      <c r="M248" s="209" t="n">
        <f aca="false">IF(ISNUMBER(M143),M143/IF_Util,M143)</f>
        <v>81.2061699399891</v>
      </c>
      <c r="N248" s="209" t="n">
        <f aca="false">IF(ISNUMBER(N143),N143/IF_Util,N143)</f>
        <v>81.2061699399891</v>
      </c>
      <c r="O248" s="209" t="n">
        <f aca="false">IF(ISNUMBER(O143),O143/IF_Util,O143)</f>
        <v>114.879376192016</v>
      </c>
      <c r="P248" s="209" t="n">
        <f aca="false">IF(ISNUMBER(P143),P143/IF_Util,P143)</f>
        <v>114.879376192016</v>
      </c>
      <c r="Q248" s="209" t="n">
        <f aca="false">IF(ISNUMBER(Q143),Q143/IF_Util,Q143)</f>
        <v>114.879376192016</v>
      </c>
      <c r="R248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2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2430</v>
      </c>
      <c r="U248" s="42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53" t="s">
        <v>2560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2" t="s">
        <v>2695</v>
      </c>
      <c r="B249" s="28" t="s">
        <v>1814</v>
      </c>
      <c r="C249" s="209" t="n">
        <f aca="false">C143</f>
        <v>3.2960508875899</v>
      </c>
      <c r="D249" s="209" t="n">
        <f aca="false">D143</f>
        <v>3.2960508875899</v>
      </c>
      <c r="E249" s="209" t="n">
        <f aca="false">E143</f>
        <v>3.2960508875899</v>
      </c>
      <c r="F249" s="209" t="n">
        <f aca="false">F143</f>
        <v>20.1746158611128</v>
      </c>
      <c r="G249" s="209" t="n">
        <f aca="false">G143</f>
        <v>20.1746158611128</v>
      </c>
      <c r="H249" s="209" t="n">
        <f aca="false">H143</f>
        <v>20.1746158611128</v>
      </c>
      <c r="I249" s="209" t="n">
        <f aca="false">I143</f>
        <v>26.2652356996766</v>
      </c>
      <c r="J249" s="209" t="n">
        <f aca="false">J143</f>
        <v>26.2652356996766</v>
      </c>
      <c r="K249" s="209" t="n">
        <f aca="false">K143</f>
        <v>26.2652356996766</v>
      </c>
      <c r="L249" s="209" t="n">
        <f aca="false">L143</f>
        <v>48.7237019639935</v>
      </c>
      <c r="M249" s="209" t="n">
        <f aca="false">M143</f>
        <v>48.7237019639935</v>
      </c>
      <c r="N249" s="209" t="n">
        <f aca="false">N143</f>
        <v>48.7237019639935</v>
      </c>
      <c r="O249" s="209" t="n">
        <f aca="false">O143</f>
        <v>68.9276257152094</v>
      </c>
      <c r="P249" s="209" t="n">
        <f aca="false">P143</f>
        <v>68.9276257152094</v>
      </c>
      <c r="Q249" s="209" t="n">
        <f aca="false">Q143</f>
        <v>68.9276257152094</v>
      </c>
      <c r="R249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2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2455</v>
      </c>
      <c r="U249" s="42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53" t="s">
        <v>2560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2" t="s">
        <v>2696</v>
      </c>
      <c r="B250" s="28" t="s">
        <v>1814</v>
      </c>
      <c r="C250" s="209" t="n">
        <f aca="false">C210</f>
        <v>2.34609687931515</v>
      </c>
      <c r="D250" s="209" t="n">
        <f aca="false">D210</f>
        <v>2.34609687931515</v>
      </c>
      <c r="E250" s="209" t="n">
        <f aca="false">E210</f>
        <v>2.34609687931515</v>
      </c>
      <c r="F250" s="209" t="n">
        <f aca="false">F210</f>
        <v>15.2851605558118</v>
      </c>
      <c r="G250" s="209" t="n">
        <f aca="false">G210</f>
        <v>15.2851605558118</v>
      </c>
      <c r="H250" s="209" t="n">
        <f aca="false">H210</f>
        <v>15.2851605558118</v>
      </c>
      <c r="I250" s="209" t="n">
        <f aca="false">I210</f>
        <v>19.2324652424837</v>
      </c>
      <c r="J250" s="209" t="n">
        <f aca="false">J210</f>
        <v>19.2324652424837</v>
      </c>
      <c r="K250" s="209" t="n">
        <f aca="false">K210</f>
        <v>19.2324652424837</v>
      </c>
      <c r="L250" s="209" t="n">
        <f aca="false">L210</f>
        <v>38.1145472754025</v>
      </c>
      <c r="M250" s="209" t="n">
        <f aca="false">M210</f>
        <v>38.1145472754025</v>
      </c>
      <c r="N250" s="209" t="n">
        <f aca="false">N210</f>
        <v>38.1145472754025</v>
      </c>
      <c r="O250" s="209" t="n">
        <f aca="false">O210</f>
        <v>54.4181760054532</v>
      </c>
      <c r="P250" s="209" t="n">
        <f aca="false">P210</f>
        <v>54.4181760054532</v>
      </c>
      <c r="Q250" s="209" t="n">
        <f aca="false">Q210</f>
        <v>54.4181760054532</v>
      </c>
      <c r="R250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2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2641</v>
      </c>
      <c r="U250" s="42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53" t="s">
        <v>2650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2" t="s">
        <v>2697</v>
      </c>
      <c r="B251" s="28" t="s">
        <v>1814</v>
      </c>
      <c r="C251" s="209" t="n">
        <f aca="false">IF(ISNUMBER(C250),C250*CTL_PriceLife*CTL_Monetize,C250)</f>
        <v>2.34609687931515</v>
      </c>
      <c r="D251" s="209" t="n">
        <f aca="false">IF(ISNUMBER(D250),D250*CTL_PriceLife*CTL_Monetize,D250)</f>
        <v>2.34609687931515</v>
      </c>
      <c r="E251" s="209" t="n">
        <f aca="false">IF(ISNUMBER(E250),E250*CTL_PriceLife*CTL_Monetize,E250)</f>
        <v>2.34609687931515</v>
      </c>
      <c r="F251" s="209" t="n">
        <f aca="false">IF(ISNUMBER(F250),F250*CTL_PriceLife*CTL_Monetize,F250)</f>
        <v>15.2851605558118</v>
      </c>
      <c r="G251" s="209" t="n">
        <f aca="false">IF(ISNUMBER(G250),G250*CTL_PriceLife*CTL_Monetize,G250)</f>
        <v>15.2851605558118</v>
      </c>
      <c r="H251" s="209" t="n">
        <f aca="false">IF(ISNUMBER(H250),H250*CTL_PriceLife*CTL_Monetize,H250)</f>
        <v>15.2851605558118</v>
      </c>
      <c r="I251" s="209" t="n">
        <f aca="false">IF(ISNUMBER(I250),I250*CTL_PriceLife*CTL_Monetize,I250)</f>
        <v>19.2324652424837</v>
      </c>
      <c r="J251" s="209" t="n">
        <f aca="false">IF(ISNUMBER(J250),J250*CTL_PriceLife*CTL_Monetize,J250)</f>
        <v>19.2324652424837</v>
      </c>
      <c r="K251" s="209" t="n">
        <f aca="false">IF(ISNUMBER(K250),K250*CTL_PriceLife*CTL_Monetize,K250)</f>
        <v>19.2324652424837</v>
      </c>
      <c r="L251" s="209" t="n">
        <f aca="false">IF(ISNUMBER(L250),L250*CTL_PriceLife*CTL_Monetize,L250)</f>
        <v>38.1145472754025</v>
      </c>
      <c r="M251" s="209" t="n">
        <f aca="false">IF(ISNUMBER(M250),M250*CTL_PriceLife*CTL_Monetize,M250)</f>
        <v>38.1145472754025</v>
      </c>
      <c r="N251" s="209" t="n">
        <f aca="false">IF(ISNUMBER(N250),N250*CTL_PriceLife*CTL_Monetize,N250)</f>
        <v>38.1145472754025</v>
      </c>
      <c r="O251" s="209" t="n">
        <f aca="false">IF(ISNUMBER(O250),O250*CTL_PriceLife*CTL_Monetize,O250)</f>
        <v>54.4181760054532</v>
      </c>
      <c r="P251" s="209" t="n">
        <f aca="false">IF(ISNUMBER(P250),P250*CTL_PriceLife*CTL_Monetize,P250)</f>
        <v>54.4181760054532</v>
      </c>
      <c r="Q251" s="209" t="n">
        <f aca="false">IF(ISNUMBER(Q250),Q250*CTL_PriceLife*CTL_Monetize,Q250)</f>
        <v>54.4181760054532</v>
      </c>
      <c r="R251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2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2653</v>
      </c>
      <c r="U251" s="42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53" t="s">
        <v>2658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2698</v>
      </c>
    </row>
    <row r="253" customFormat="false" ht="15" hidden="false" customHeight="true" outlineLevel="0" collapsed="false">
      <c r="A253" s="42" t="s">
        <v>2699</v>
      </c>
      <c r="B253" s="28" t="s">
        <v>1814</v>
      </c>
      <c r="C253" s="209" t="n">
        <f aca="false">IF(ISNUMBER(C102),C102/IF_Util,C102)</f>
        <v>5.14734059867551</v>
      </c>
      <c r="D253" s="209" t="n">
        <f aca="false">IF(ISNUMBER(D102),D102/IF_Util,D102)</f>
        <v>5.14734059867551</v>
      </c>
      <c r="E253" s="209" t="n">
        <f aca="false">IF(ISNUMBER(E102),E102/IF_Util,E102)</f>
        <v>5.14734059867551</v>
      </c>
      <c r="F253" s="209" t="n">
        <f aca="false">IF(ISNUMBER(F102),F102/IF_Util,F102)</f>
        <v>29.1133717558573</v>
      </c>
      <c r="G253" s="209" t="n">
        <f aca="false">IF(ISNUMBER(G102),G102/IF_Util,G102)</f>
        <v>29.1133717558573</v>
      </c>
      <c r="H253" s="209" t="n">
        <f aca="false">IF(ISNUMBER(H102),H102/IF_Util,H102)</f>
        <v>29.1133717558573</v>
      </c>
      <c r="I253" s="209" t="n">
        <f aca="false">IF(ISNUMBER(I102),I102/IF_Util,I102)</f>
        <v>42.3854598701289</v>
      </c>
      <c r="J253" s="209" t="n">
        <f aca="false">IF(ISNUMBER(J102),J102/IF_Util,J102)</f>
        <v>42.3854598701289</v>
      </c>
      <c r="K253" s="209" t="n">
        <f aca="false">IF(ISNUMBER(K102),K102/IF_Util,K102)</f>
        <v>42.3854598701289</v>
      </c>
      <c r="L253" s="209" t="n">
        <f aca="false">IF(ISNUMBER(L102),L102/IF_Util,L102)</f>
        <v>62.0970377331622</v>
      </c>
      <c r="M253" s="209" t="n">
        <f aca="false">IF(ISNUMBER(M102),M102/IF_Util,M102)</f>
        <v>62.0970377331622</v>
      </c>
      <c r="N253" s="209" t="n">
        <f aca="false">IF(ISNUMBER(N102),N102/IF_Util,N102)</f>
        <v>62.0970377331622</v>
      </c>
      <c r="O253" s="209" t="n">
        <f aca="false">IF(ISNUMBER(O102),O102/IF_Util,O102)</f>
        <v>83.9212299203448</v>
      </c>
      <c r="P253" s="209" t="n">
        <f aca="false">IF(ISNUMBER(P102),P102/IF_Util,P102)</f>
        <v>83.9212299203448</v>
      </c>
      <c r="Q253" s="209" t="n">
        <f aca="false">IF(ISNUMBER(Q102),Q102/IF_Util,Q102)</f>
        <v>83.9212299203448</v>
      </c>
      <c r="R253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2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2430</v>
      </c>
      <c r="U253" s="42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53" t="s">
        <v>2522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2" t="s">
        <v>2700</v>
      </c>
      <c r="B254" s="28" t="s">
        <v>1814</v>
      </c>
      <c r="C254" s="209" t="n">
        <f aca="false">C102</f>
        <v>3.08840435920531</v>
      </c>
      <c r="D254" s="209" t="n">
        <f aca="false">D102</f>
        <v>3.08840435920531</v>
      </c>
      <c r="E254" s="209" t="n">
        <f aca="false">E102</f>
        <v>3.08840435920531</v>
      </c>
      <c r="F254" s="209" t="n">
        <f aca="false">F102</f>
        <v>17.4680230535144</v>
      </c>
      <c r="G254" s="209" t="n">
        <f aca="false">G102</f>
        <v>17.4680230535144</v>
      </c>
      <c r="H254" s="209" t="n">
        <f aca="false">H102</f>
        <v>17.4680230535144</v>
      </c>
      <c r="I254" s="209" t="n">
        <f aca="false">I102</f>
        <v>25.4312759220773</v>
      </c>
      <c r="J254" s="209" t="n">
        <f aca="false">J102</f>
        <v>25.4312759220773</v>
      </c>
      <c r="K254" s="209" t="n">
        <f aca="false">K102</f>
        <v>25.4312759220773</v>
      </c>
      <c r="L254" s="209" t="n">
        <f aca="false">L102</f>
        <v>37.2582226398973</v>
      </c>
      <c r="M254" s="209" t="n">
        <f aca="false">M102</f>
        <v>37.2582226398973</v>
      </c>
      <c r="N254" s="209" t="n">
        <f aca="false">N102</f>
        <v>37.2582226398973</v>
      </c>
      <c r="O254" s="209" t="n">
        <f aca="false">O102</f>
        <v>50.3527379522069</v>
      </c>
      <c r="P254" s="209" t="n">
        <f aca="false">P102</f>
        <v>50.3527379522069</v>
      </c>
      <c r="Q254" s="209" t="n">
        <f aca="false">Q102</f>
        <v>50.3527379522069</v>
      </c>
      <c r="R25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2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2455</v>
      </c>
      <c r="U254" s="42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53" t="s">
        <v>2522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2" t="s">
        <v>2701</v>
      </c>
      <c r="B255" s="28" t="s">
        <v>1814</v>
      </c>
      <c r="C255" s="188" t="n">
        <f aca="false">IF(ISNUMBER(Theory_Rev_Prod!C10),Theory_Rev_Prod!C10*INDEX(B4_FrontRef,1,1)/1000000000,Theory_Rev_Prod!C10)</f>
        <v>2.08411383671757</v>
      </c>
      <c r="D255" s="188" t="n">
        <f aca="false">IF(ISNUMBER(Theory_Rev_Prod!D10),Theory_Rev_Prod!D10*INDEX(B4_FrontRef,1,1)/1000000000,Theory_Rev_Prod!D10)</f>
        <v>2.08411383671757</v>
      </c>
      <c r="E255" s="188" t="n">
        <f aca="false">IF(ISNUMBER(Theory_Rev_Prod!E10),Theory_Rev_Prod!E10*INDEX(B4_FrontRef,1,1)/1000000000,Theory_Rev_Prod!E10)</f>
        <v>2.08411383671757</v>
      </c>
      <c r="F255" s="188" t="n">
        <f aca="false">IF(ISNUMBER(Theory_Rev_Prod!F10),Theory_Rev_Prod!F10*INDEX(B4_FrontRef,1,1)/1000000000,Theory_Rev_Prod!F10)</f>
        <v>13.6555857459493</v>
      </c>
      <c r="G255" s="188" t="n">
        <f aca="false">IF(ISNUMBER(Theory_Rev_Prod!G10),Theory_Rev_Prod!G10*INDEX(B4_FrontRef,1,1)/1000000000,Theory_Rev_Prod!G10)</f>
        <v>13.6555857459493</v>
      </c>
      <c r="H255" s="188" t="n">
        <f aca="false">IF(ISNUMBER(Theory_Rev_Prod!H10),Theory_Rev_Prod!H10*INDEX(B4_FrontRef,1,1)/1000000000,Theory_Rev_Prod!H10)</f>
        <v>13.6555857459493</v>
      </c>
      <c r="I255" s="188" t="n">
        <f aca="false">IF(ISNUMBER(Theory_Rev_Prod!I10),Theory_Rev_Prod!I10*INDEX(B4_FrontRef,1,1)/1000000000,Theory_Rev_Prod!I10)</f>
        <v>19.8808398591479</v>
      </c>
      <c r="J255" s="188" t="n">
        <f aca="false">IF(ISNUMBER(Theory_Rev_Prod!J10),Theory_Rev_Prod!J10*INDEX(B4_FrontRef,1,1)/1000000000,Theory_Rev_Prod!J10)</f>
        <v>19.8808398591479</v>
      </c>
      <c r="K255" s="188" t="n">
        <f aca="false">IF(ISNUMBER(Theory_Rev_Prod!K10),Theory_Rev_Prod!K10*INDEX(B4_FrontRef,1,1)/1000000000,Theory_Rev_Prod!K10)</f>
        <v>19.8808398591479</v>
      </c>
      <c r="L255" s="188" t="n">
        <f aca="false">IF(ISNUMBER(Theory_Rev_Prod!L10),Theory_Rev_Prod!L10*INDEX(B4_FrontRef,1,1)/1000000000,Theory_Rev_Prod!L10)</f>
        <v>29.3255549100997</v>
      </c>
      <c r="M255" s="188" t="n">
        <f aca="false">IF(ISNUMBER(Theory_Rev_Prod!M10),Theory_Rev_Prod!M10*INDEX(B4_FrontRef,1,1)/1000000000,Theory_Rev_Prod!M10)</f>
        <v>29.3255549100997</v>
      </c>
      <c r="N255" s="188" t="n">
        <f aca="false">IF(ISNUMBER(Theory_Rev_Prod!N10),Theory_Rev_Prod!N10*INDEX(B4_FrontRef,1,1)/1000000000,Theory_Rev_Prod!N10)</f>
        <v>29.3255549100997</v>
      </c>
      <c r="O255" s="188" t="n">
        <f aca="false">IF(ISNUMBER(Theory_Rev_Prod!O10),Theory_Rev_Prod!O10*INDEX(B4_FrontRef,1,1)/1000000000,Theory_Rev_Prod!O10)</f>
        <v>39.6992397829504</v>
      </c>
      <c r="P255" s="188" t="n">
        <f aca="false">IF(ISNUMBER(Theory_Rev_Prod!P10),Theory_Rev_Prod!P10*INDEX(B4_FrontRef,1,1)/1000000000,Theory_Rev_Prod!P10)</f>
        <v>39.6992397829504</v>
      </c>
      <c r="Q255" s="188" t="n">
        <f aca="false">IF(ISNUMBER(Theory_Rev_Prod!Q10),Theory_Rev_Prod!Q10*INDEX(B4_FrontRef,1,1)/1000000000,Theory_Rev_Prod!Q10)</f>
        <v>39.6992397829504</v>
      </c>
      <c r="R25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2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2641</v>
      </c>
      <c r="U255" s="42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53" t="s">
        <v>2702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2" t="s">
        <v>2703</v>
      </c>
      <c r="B256" s="28" t="s">
        <v>1814</v>
      </c>
      <c r="C256" s="209" t="n">
        <f aca="false">IF(ISNUMBER(C255),C255*CTL_PriceLife*CTL_Monetize,C255)</f>
        <v>2.08411383671757</v>
      </c>
      <c r="D256" s="209" t="n">
        <f aca="false">IF(ISNUMBER(D255),D255*CTL_PriceLife*CTL_Monetize,D255)</f>
        <v>2.08411383671757</v>
      </c>
      <c r="E256" s="209" t="n">
        <f aca="false">IF(ISNUMBER(E255),E255*CTL_PriceLife*CTL_Monetize,E255)</f>
        <v>2.08411383671757</v>
      </c>
      <c r="F256" s="209" t="n">
        <f aca="false">IF(ISNUMBER(F255),F255*CTL_PriceLife*CTL_Monetize,F255)</f>
        <v>13.6555857459493</v>
      </c>
      <c r="G256" s="209" t="n">
        <f aca="false">IF(ISNUMBER(G255),G255*CTL_PriceLife*CTL_Monetize,G255)</f>
        <v>13.6555857459493</v>
      </c>
      <c r="H256" s="209" t="n">
        <f aca="false">IF(ISNUMBER(H255),H255*CTL_PriceLife*CTL_Monetize,H255)</f>
        <v>13.6555857459493</v>
      </c>
      <c r="I256" s="209" t="n">
        <f aca="false">IF(ISNUMBER(I255),I255*CTL_PriceLife*CTL_Monetize,I255)</f>
        <v>19.8808398591479</v>
      </c>
      <c r="J256" s="209" t="n">
        <f aca="false">IF(ISNUMBER(J255),J255*CTL_PriceLife*CTL_Monetize,J255)</f>
        <v>19.8808398591479</v>
      </c>
      <c r="K256" s="209" t="n">
        <f aca="false">IF(ISNUMBER(K255),K255*CTL_PriceLife*CTL_Monetize,K255)</f>
        <v>19.8808398591479</v>
      </c>
      <c r="L256" s="209" t="n">
        <f aca="false">IF(ISNUMBER(L255),L255*CTL_PriceLife*CTL_Monetize,L255)</f>
        <v>29.3255549100997</v>
      </c>
      <c r="M256" s="209" t="n">
        <f aca="false">IF(ISNUMBER(M255),M255*CTL_PriceLife*CTL_Monetize,M255)</f>
        <v>29.3255549100997</v>
      </c>
      <c r="N256" s="209" t="n">
        <f aca="false">IF(ISNUMBER(N255),N255*CTL_PriceLife*CTL_Monetize,N255)</f>
        <v>29.3255549100997</v>
      </c>
      <c r="O256" s="209" t="n">
        <f aca="false">IF(ISNUMBER(O255),O255*CTL_PriceLife*CTL_Monetize,O255)</f>
        <v>39.6992397829504</v>
      </c>
      <c r="P256" s="209" t="n">
        <f aca="false">IF(ISNUMBER(P255),P255*CTL_PriceLife*CTL_Monetize,P255)</f>
        <v>39.6992397829504</v>
      </c>
      <c r="Q256" s="209" t="n">
        <f aca="false">IF(ISNUMBER(Q255),Q255*CTL_PriceLife*CTL_Monetize,Q255)</f>
        <v>39.6992397829504</v>
      </c>
      <c r="R25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2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2653</v>
      </c>
      <c r="U256" s="42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53" t="s">
        <v>2704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2698</v>
      </c>
    </row>
    <row r="258" customFormat="false" ht="15" hidden="false" customHeight="true" outlineLevel="0" collapsed="false">
      <c r="A258" s="42" t="s">
        <v>2705</v>
      </c>
      <c r="B258" s="28" t="s">
        <v>1814</v>
      </c>
      <c r="C258" s="209" t="n">
        <f aca="false">IF(ISNUMBER(C120),C120/IF_Util,C120)</f>
        <v>29.8868224705592</v>
      </c>
      <c r="D258" s="209" t="n">
        <f aca="false">IF(ISNUMBER(D120),D120/IF_Util,D120)</f>
        <v>29.8868224705592</v>
      </c>
      <c r="E258" s="209" t="n">
        <f aca="false">IF(ISNUMBER(E120),E120/IF_Util,E120)</f>
        <v>29.8868224705592</v>
      </c>
      <c r="F258" s="209" t="n">
        <f aca="false">IF(ISNUMBER(F120),F120/IF_Util,F120)</f>
        <v>167.34108902564</v>
      </c>
      <c r="G258" s="209" t="n">
        <f aca="false">IF(ISNUMBER(G120),G120/IF_Util,G120)</f>
        <v>167.34108902564</v>
      </c>
      <c r="H258" s="209" t="n">
        <f aca="false">IF(ISNUMBER(H120),H120/IF_Util,H120)</f>
        <v>167.34108902564</v>
      </c>
      <c r="I258" s="209" t="n">
        <f aca="false">IF(ISNUMBER(I120),I120/IF_Util,I120)</f>
        <v>243.627879072198</v>
      </c>
      <c r="J258" s="209" t="n">
        <f aca="false">IF(ISNUMBER(J120),J120/IF_Util,J120)</f>
        <v>243.627879072198</v>
      </c>
      <c r="K258" s="209" t="n">
        <f aca="false">IF(ISNUMBER(K120),K120/IF_Util,K120)</f>
        <v>243.627879072198</v>
      </c>
      <c r="L258" s="209" t="n">
        <f aca="false">IF(ISNUMBER(L120),L120/IF_Util,L120)</f>
        <v>381.347118606988</v>
      </c>
      <c r="M258" s="209" t="n">
        <f aca="false">IF(ISNUMBER(M120),M120/IF_Util,M120)</f>
        <v>381.347118606988</v>
      </c>
      <c r="N258" s="209" t="n">
        <f aca="false">IF(ISNUMBER(N120),N120/IF_Util,N120)</f>
        <v>381.347118606988</v>
      </c>
      <c r="O258" s="209" t="n">
        <f aca="false">IF(ISNUMBER(O120),O120/IF_Util,O120)</f>
        <v>524.216615381698</v>
      </c>
      <c r="P258" s="209" t="n">
        <f aca="false">IF(ISNUMBER(P120),P120/IF_Util,P120)</f>
        <v>524.216615381698</v>
      </c>
      <c r="Q258" s="209" t="n">
        <f aca="false">IF(ISNUMBER(Q120),Q120/IF_Util,Q120)</f>
        <v>524.216615381698</v>
      </c>
      <c r="R258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2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2430</v>
      </c>
      <c r="U258" s="42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53" t="s">
        <v>2522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2" t="s">
        <v>2706</v>
      </c>
      <c r="B259" s="28" t="s">
        <v>1814</v>
      </c>
      <c r="C259" s="209" t="n">
        <f aca="false">C120</f>
        <v>17.9320934823355</v>
      </c>
      <c r="D259" s="209" t="n">
        <f aca="false">D120</f>
        <v>17.9320934823355</v>
      </c>
      <c r="E259" s="209" t="n">
        <f aca="false">E120</f>
        <v>17.9320934823355</v>
      </c>
      <c r="F259" s="209" t="n">
        <f aca="false">F120</f>
        <v>100.404653415384</v>
      </c>
      <c r="G259" s="209" t="n">
        <f aca="false">G120</f>
        <v>100.404653415384</v>
      </c>
      <c r="H259" s="209" t="n">
        <f aca="false">H120</f>
        <v>100.404653415384</v>
      </c>
      <c r="I259" s="209" t="n">
        <f aca="false">I120</f>
        <v>146.176727443319</v>
      </c>
      <c r="J259" s="209" t="n">
        <f aca="false">J120</f>
        <v>146.176727443319</v>
      </c>
      <c r="K259" s="209" t="n">
        <f aca="false">K120</f>
        <v>146.176727443319</v>
      </c>
      <c r="L259" s="209" t="n">
        <f aca="false">L120</f>
        <v>228.808271164193</v>
      </c>
      <c r="M259" s="209" t="n">
        <f aca="false">M120</f>
        <v>228.808271164193</v>
      </c>
      <c r="N259" s="209" t="n">
        <f aca="false">N120</f>
        <v>228.808271164193</v>
      </c>
      <c r="O259" s="209" t="n">
        <f aca="false">O120</f>
        <v>314.529969229019</v>
      </c>
      <c r="P259" s="209" t="n">
        <f aca="false">P120</f>
        <v>314.529969229019</v>
      </c>
      <c r="Q259" s="209" t="n">
        <f aca="false">Q120</f>
        <v>314.529969229019</v>
      </c>
      <c r="R259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2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2455</v>
      </c>
      <c r="U259" s="42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53" t="s">
        <v>2522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2" t="s">
        <v>2707</v>
      </c>
      <c r="B260" s="28" t="s">
        <v>1814</v>
      </c>
      <c r="C260" s="188" t="n">
        <f aca="false">IF(ISNUMBER(Theory_Rev_Prod!C28),Theory_Rev_Prod!C28*INDEX(B4_FrontRef,1,2)/1000000000,Theory_Rev_Prod!C28)</f>
        <v>12.9469345365415</v>
      </c>
      <c r="D260" s="188" t="n">
        <f aca="false">IF(ISNUMBER(Theory_Rev_Prod!D28),Theory_Rev_Prod!D28*INDEX(B4_FrontRef,1,2)/1000000000,Theory_Rev_Prod!D28)</f>
        <v>12.9469345365415</v>
      </c>
      <c r="E260" s="188" t="n">
        <f aca="false">IF(ISNUMBER(Theory_Rev_Prod!E28),Theory_Rev_Prod!E28*INDEX(B4_FrontRef,1,2)/1000000000,Theory_Rev_Prod!E28)</f>
        <v>12.9469345365415</v>
      </c>
      <c r="F260" s="188" t="n">
        <f aca="false">IF(ISNUMBER(Theory_Rev_Prod!F28),Theory_Rev_Prod!F28*INDEX(B4_FrontRef,1,2)/1000000000,Theory_Rev_Prod!F28)</f>
        <v>80.1519532436076</v>
      </c>
      <c r="G260" s="188" t="n">
        <f aca="false">IF(ISNUMBER(Theory_Rev_Prod!G28),Theory_Rev_Prod!G28*INDEX(B4_FrontRef,1,2)/1000000000,Theory_Rev_Prod!G28)</f>
        <v>80.1519532436076</v>
      </c>
      <c r="H260" s="188" t="n">
        <f aca="false">IF(ISNUMBER(Theory_Rev_Prod!H28),Theory_Rev_Prod!H28*INDEX(B4_FrontRef,1,2)/1000000000,Theory_Rev_Prod!H28)</f>
        <v>80.1519532436076</v>
      </c>
      <c r="I260" s="188" t="n">
        <f aca="false">IF(ISNUMBER(Theory_Rev_Prod!I28),Theory_Rev_Prod!I28*INDEX(B4_FrontRef,1,2)/1000000000,Theory_Rev_Prod!I28)</f>
        <v>116.69130687468</v>
      </c>
      <c r="J260" s="188" t="n">
        <f aca="false">IF(ISNUMBER(Theory_Rev_Prod!J28),Theory_Rev_Prod!J28*INDEX(B4_FrontRef,1,2)/1000000000,Theory_Rev_Prod!J28)</f>
        <v>116.69130687468</v>
      </c>
      <c r="K260" s="188" t="n">
        <f aca="false">IF(ISNUMBER(Theory_Rev_Prod!K28),Theory_Rev_Prod!K28*INDEX(B4_FrontRef,1,2)/1000000000,Theory_Rev_Prod!K28)</f>
        <v>116.69130687468</v>
      </c>
      <c r="L260" s="188" t="n">
        <f aca="false">IF(ISNUMBER(Theory_Rev_Prod!L28),Theory_Rev_Prod!L28*INDEX(B4_FrontRef,1,2)/1000000000,Theory_Rev_Prod!L28)</f>
        <v>184.79597204631</v>
      </c>
      <c r="M260" s="188" t="n">
        <f aca="false">IF(ISNUMBER(Theory_Rev_Prod!M28),Theory_Rev_Prod!M28*INDEX(B4_FrontRef,1,2)/1000000000,Theory_Rev_Prod!M28)</f>
        <v>184.79597204631</v>
      </c>
      <c r="N260" s="188" t="n">
        <f aca="false">IF(ISNUMBER(Theory_Rev_Prod!N28),Theory_Rev_Prod!N28*INDEX(B4_FrontRef,1,2)/1000000000,Theory_Rev_Prod!N28)</f>
        <v>184.79597204631</v>
      </c>
      <c r="O260" s="188" t="n">
        <f aca="false">IF(ISNUMBER(Theory_Rev_Prod!O28),Theory_Rev_Prod!O28*INDEX(B4_FrontRef,1,2)/1000000000,Theory_Rev_Prod!O28)</f>
        <v>254.725350558298</v>
      </c>
      <c r="P260" s="188" t="n">
        <f aca="false">IF(ISNUMBER(Theory_Rev_Prod!P28),Theory_Rev_Prod!P28*INDEX(B4_FrontRef,1,2)/1000000000,Theory_Rev_Prod!P28)</f>
        <v>254.725350558298</v>
      </c>
      <c r="Q260" s="188" t="n">
        <f aca="false">IF(ISNUMBER(Theory_Rev_Prod!Q28),Theory_Rev_Prod!Q28*INDEX(B4_FrontRef,1,2)/1000000000,Theory_Rev_Prod!Q28)</f>
        <v>254.725350558298</v>
      </c>
      <c r="R260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2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2641</v>
      </c>
      <c r="U260" s="42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53" t="s">
        <v>2702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2" t="s">
        <v>2708</v>
      </c>
      <c r="B261" s="28" t="s">
        <v>1814</v>
      </c>
      <c r="C261" s="209" t="n">
        <f aca="false">IF(ISNUMBER(C260),C260*CTL_PriceLife*CTL_Monetize,C260)</f>
        <v>12.9469345365415</v>
      </c>
      <c r="D261" s="209" t="n">
        <f aca="false">IF(ISNUMBER(D260),D260*CTL_PriceLife*CTL_Monetize,D260)</f>
        <v>12.9469345365415</v>
      </c>
      <c r="E261" s="209" t="n">
        <f aca="false">IF(ISNUMBER(E260),E260*CTL_PriceLife*CTL_Monetize,E260)</f>
        <v>12.9469345365415</v>
      </c>
      <c r="F261" s="209" t="n">
        <f aca="false">IF(ISNUMBER(F260),F260*CTL_PriceLife*CTL_Monetize,F260)</f>
        <v>80.1519532436076</v>
      </c>
      <c r="G261" s="209" t="n">
        <f aca="false">IF(ISNUMBER(G260),G260*CTL_PriceLife*CTL_Monetize,G260)</f>
        <v>80.1519532436076</v>
      </c>
      <c r="H261" s="209" t="n">
        <f aca="false">IF(ISNUMBER(H260),H260*CTL_PriceLife*CTL_Monetize,H260)</f>
        <v>80.1519532436076</v>
      </c>
      <c r="I261" s="209" t="n">
        <f aca="false">IF(ISNUMBER(I260),I260*CTL_PriceLife*CTL_Monetize,I260)</f>
        <v>116.69130687468</v>
      </c>
      <c r="J261" s="209" t="n">
        <f aca="false">IF(ISNUMBER(J260),J260*CTL_PriceLife*CTL_Monetize,J260)</f>
        <v>116.69130687468</v>
      </c>
      <c r="K261" s="209" t="n">
        <f aca="false">IF(ISNUMBER(K260),K260*CTL_PriceLife*CTL_Monetize,K260)</f>
        <v>116.69130687468</v>
      </c>
      <c r="L261" s="209" t="n">
        <f aca="false">IF(ISNUMBER(L260),L260*CTL_PriceLife*CTL_Monetize,L260)</f>
        <v>184.79597204631</v>
      </c>
      <c r="M261" s="209" t="n">
        <f aca="false">IF(ISNUMBER(M260),M260*CTL_PriceLife*CTL_Monetize,M260)</f>
        <v>184.79597204631</v>
      </c>
      <c r="N261" s="209" t="n">
        <f aca="false">IF(ISNUMBER(N260),N260*CTL_PriceLife*CTL_Monetize,N260)</f>
        <v>184.79597204631</v>
      </c>
      <c r="O261" s="209" t="n">
        <f aca="false">IF(ISNUMBER(O260),O260*CTL_PriceLife*CTL_Monetize,O260)</f>
        <v>254.725350558298</v>
      </c>
      <c r="P261" s="209" t="n">
        <f aca="false">IF(ISNUMBER(P260),P260*CTL_PriceLife*CTL_Monetize,P260)</f>
        <v>254.725350558298</v>
      </c>
      <c r="Q261" s="209" t="n">
        <f aca="false">IF(ISNUMBER(Q260),Q260*CTL_PriceLife*CTL_Monetize,Q260)</f>
        <v>254.725350558298</v>
      </c>
      <c r="R261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2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2653</v>
      </c>
      <c r="U261" s="42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53" t="s">
        <v>2704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2698</v>
      </c>
    </row>
    <row r="263" customFormat="false" ht="15" hidden="false" customHeight="true" outlineLevel="0" collapsed="false">
      <c r="A263" s="42" t="s">
        <v>2709</v>
      </c>
      <c r="B263" s="28" t="s">
        <v>1814</v>
      </c>
      <c r="C263" s="209" t="str">
        <f aca="false">IF(ISNUMBER(C138),C138/IF_Util,C138)</f>
        <v>TTFT 不可達</v>
      </c>
      <c r="D263" s="209" t="str">
        <f aca="false">IF(ISNUMBER(D138),D138/IF_Util,D138)</f>
        <v>TTFT 不可達</v>
      </c>
      <c r="E263" s="209" t="str">
        <f aca="false">IF(ISNUMBER(E138),E138/IF_Util,E138)</f>
        <v>TTFT 不可達</v>
      </c>
      <c r="F263" s="209" t="n">
        <f aca="false">IF(ISNUMBER(F138),F138/IF_Util,F138)</f>
        <v>155.168368680523</v>
      </c>
      <c r="G263" s="209" t="n">
        <f aca="false">IF(ISNUMBER(G138),G138/IF_Util,G138)</f>
        <v>155.168368680523</v>
      </c>
      <c r="H263" s="209" t="n">
        <f aca="false">IF(ISNUMBER(H138),H138/IF_Util,H138)</f>
        <v>155.168368680523</v>
      </c>
      <c r="I263" s="209" t="n">
        <f aca="false">IF(ISNUMBER(I138),I138/IF_Util,I138)</f>
        <v>187.626852333956</v>
      </c>
      <c r="J263" s="209" t="n">
        <f aca="false">IF(ISNUMBER(J138),J138/IF_Util,J138)</f>
        <v>187.626852333956</v>
      </c>
      <c r="K263" s="209" t="n">
        <f aca="false">IF(ISNUMBER(K138),K138/IF_Util,K138)</f>
        <v>187.626852333956</v>
      </c>
      <c r="L263" s="209" t="n">
        <f aca="false">IF(ISNUMBER(L138),L138/IF_Util,L138)</f>
        <v>396.153179292518</v>
      </c>
      <c r="M263" s="209" t="n">
        <f aca="false">IF(ISNUMBER(M138),M138/IF_Util,M138)</f>
        <v>396.153179292518</v>
      </c>
      <c r="N263" s="209" t="n">
        <f aca="false">IF(ISNUMBER(N138),N138/IF_Util,N138)</f>
        <v>396.153179292518</v>
      </c>
      <c r="O263" s="209" t="n">
        <f aca="false">IF(ISNUMBER(O138),O138/IF_Util,O138)</f>
        <v>576.028734834064</v>
      </c>
      <c r="P263" s="209" t="n">
        <f aca="false">IF(ISNUMBER(P138),P138/IF_Util,P138)</f>
        <v>576.028734834064</v>
      </c>
      <c r="Q263" s="209" t="n">
        <f aca="false">IF(ISNUMBER(Q138),Q138/IF_Util,Q138)</f>
        <v>576.028734834064</v>
      </c>
      <c r="R263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2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2430</v>
      </c>
      <c r="U263" s="42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53" t="s">
        <v>2522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2" t="s">
        <v>2710</v>
      </c>
      <c r="B264" s="28" t="s">
        <v>1814</v>
      </c>
      <c r="C264" s="209" t="str">
        <f aca="false">C138</f>
        <v>TTFT 不可達</v>
      </c>
      <c r="D264" s="209" t="str">
        <f aca="false">D138</f>
        <v>TTFT 不可達</v>
      </c>
      <c r="E264" s="209" t="str">
        <f aca="false">E138</f>
        <v>TTFT 不可達</v>
      </c>
      <c r="F264" s="209" t="n">
        <f aca="false">F138</f>
        <v>93.101021208314</v>
      </c>
      <c r="G264" s="209" t="n">
        <f aca="false">G138</f>
        <v>93.101021208314</v>
      </c>
      <c r="H264" s="209" t="n">
        <f aca="false">H138</f>
        <v>93.101021208314</v>
      </c>
      <c r="I264" s="209" t="n">
        <f aca="false">I138</f>
        <v>112.576111400374</v>
      </c>
      <c r="J264" s="209" t="n">
        <f aca="false">J138</f>
        <v>112.576111400374</v>
      </c>
      <c r="K264" s="209" t="n">
        <f aca="false">K138</f>
        <v>112.576111400374</v>
      </c>
      <c r="L264" s="209" t="n">
        <f aca="false">L138</f>
        <v>237.691907575511</v>
      </c>
      <c r="M264" s="209" t="n">
        <f aca="false">M138</f>
        <v>237.691907575511</v>
      </c>
      <c r="N264" s="209" t="n">
        <f aca="false">N138</f>
        <v>237.691907575511</v>
      </c>
      <c r="O264" s="209" t="n">
        <f aca="false">O138</f>
        <v>345.617240900439</v>
      </c>
      <c r="P264" s="209" t="n">
        <f aca="false">P138</f>
        <v>345.617240900439</v>
      </c>
      <c r="Q264" s="209" t="n">
        <f aca="false">Q138</f>
        <v>345.617240900439</v>
      </c>
      <c r="R26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2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2455</v>
      </c>
      <c r="U264" s="42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53" t="s">
        <v>2522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2" t="s">
        <v>2711</v>
      </c>
      <c r="B265" s="28" t="s">
        <v>1814</v>
      </c>
      <c r="C265" s="188" t="str">
        <f aca="false">IF(ISNUMBER(Theory_Rev_Prod!C46),Theory_Rev_Prod!C46*INDEX(B4_FrontRef,1,3)/1000000000,Theory_Rev_Prod!C46)</f>
        <v>TTFT 不可達</v>
      </c>
      <c r="D265" s="188" t="str">
        <f aca="false">IF(ISNUMBER(Theory_Rev_Prod!D46),Theory_Rev_Prod!D46*INDEX(B4_FrontRef,1,3)/1000000000,Theory_Rev_Prod!D46)</f>
        <v>TTFT 不可達</v>
      </c>
      <c r="E265" s="188" t="str">
        <f aca="false">IF(ISNUMBER(Theory_Rev_Prod!E46),Theory_Rev_Prod!E46*INDEX(B4_FrontRef,1,3)/1000000000,Theory_Rev_Prod!E46)</f>
        <v>TTFT 不可達</v>
      </c>
      <c r="F265" s="188" t="n">
        <f aca="false">IF(ISNUMBER(Theory_Rev_Prod!F46),Theory_Rev_Prod!F46*INDEX(B4_FrontRef,1,3)/1000000000,Theory_Rev_Prod!F46)</f>
        <v>68.2212927543802</v>
      </c>
      <c r="G265" s="188" t="n">
        <f aca="false">IF(ISNUMBER(Theory_Rev_Prod!G46),Theory_Rev_Prod!G46*INDEX(B4_FrontRef,1,3)/1000000000,Theory_Rev_Prod!G46)</f>
        <v>68.2212927543802</v>
      </c>
      <c r="H265" s="188" t="n">
        <f aca="false">IF(ISNUMBER(Theory_Rev_Prod!H46),Theory_Rev_Prod!H46*INDEX(B4_FrontRef,1,3)/1000000000,Theory_Rev_Prod!H46)</f>
        <v>68.2212927543802</v>
      </c>
      <c r="I265" s="188" t="n">
        <f aca="false">IF(ISNUMBER(Theory_Rev_Prod!I46),Theory_Rev_Prod!I46*INDEX(B4_FrontRef,1,3)/1000000000,Theory_Rev_Prod!I46)</f>
        <v>78.6993390379429</v>
      </c>
      <c r="J265" s="188" t="n">
        <f aca="false">IF(ISNUMBER(Theory_Rev_Prod!J46),Theory_Rev_Prod!J46*INDEX(B4_FrontRef,1,3)/1000000000,Theory_Rev_Prod!J46)</f>
        <v>78.6993390379429</v>
      </c>
      <c r="K265" s="188" t="n">
        <f aca="false">IF(ISNUMBER(Theory_Rev_Prod!K46),Theory_Rev_Prod!K46*INDEX(B4_FrontRef,1,3)/1000000000,Theory_Rev_Prod!K46)</f>
        <v>78.6993390379429</v>
      </c>
      <c r="L265" s="188" t="n">
        <f aca="false">IF(ISNUMBER(Theory_Rev_Prod!L46),Theory_Rev_Prod!L46*INDEX(B4_FrontRef,1,3)/1000000000,Theory_Rev_Prod!L46)</f>
        <v>182.037727038631</v>
      </c>
      <c r="M265" s="188" t="n">
        <f aca="false">IF(ISNUMBER(Theory_Rev_Prod!M46),Theory_Rev_Prod!M46*INDEX(B4_FrontRef,1,3)/1000000000,Theory_Rev_Prod!M46)</f>
        <v>182.037727038631</v>
      </c>
      <c r="N265" s="188" t="n">
        <f aca="false">IF(ISNUMBER(Theory_Rev_Prod!N46),Theory_Rev_Prod!N46*INDEX(B4_FrontRef,1,3)/1000000000,Theory_Rev_Prod!N46)</f>
        <v>182.037727038631</v>
      </c>
      <c r="O265" s="188" t="n">
        <f aca="false">IF(ISNUMBER(Theory_Rev_Prod!O46),Theory_Rev_Prod!O46*INDEX(B4_FrontRef,1,3)/1000000000,Theory_Rev_Prod!O46)</f>
        <v>268.316842301542</v>
      </c>
      <c r="P265" s="188" t="n">
        <f aca="false">IF(ISNUMBER(Theory_Rev_Prod!P46),Theory_Rev_Prod!P46*INDEX(B4_FrontRef,1,3)/1000000000,Theory_Rev_Prod!P46)</f>
        <v>268.316842301542</v>
      </c>
      <c r="Q265" s="188" t="n">
        <f aca="false">IF(ISNUMBER(Theory_Rev_Prod!Q46),Theory_Rev_Prod!Q46*INDEX(B4_FrontRef,1,3)/1000000000,Theory_Rev_Prod!Q46)</f>
        <v>268.316842301542</v>
      </c>
      <c r="R26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2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2641</v>
      </c>
      <c r="U265" s="42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53" t="s">
        <v>2702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2" t="s">
        <v>2712</v>
      </c>
      <c r="B266" s="28" t="s">
        <v>1814</v>
      </c>
      <c r="C266" s="209" t="str">
        <f aca="false">IF(ISNUMBER(C265),C265*CTL_PriceLife*CTL_Monetize,C265)</f>
        <v>TTFT 不可達</v>
      </c>
      <c r="D266" s="209" t="str">
        <f aca="false">IF(ISNUMBER(D265),D265*CTL_PriceLife*CTL_Monetize,D265)</f>
        <v>TTFT 不可達</v>
      </c>
      <c r="E266" s="209" t="str">
        <f aca="false">IF(ISNUMBER(E265),E265*CTL_PriceLife*CTL_Monetize,E265)</f>
        <v>TTFT 不可達</v>
      </c>
      <c r="F266" s="209" t="n">
        <f aca="false">IF(ISNUMBER(F265),F265*CTL_PriceLife*CTL_Monetize,F265)</f>
        <v>68.2212927543802</v>
      </c>
      <c r="G266" s="209" t="n">
        <f aca="false">IF(ISNUMBER(G265),G265*CTL_PriceLife*CTL_Monetize,G265)</f>
        <v>68.2212927543802</v>
      </c>
      <c r="H266" s="209" t="n">
        <f aca="false">IF(ISNUMBER(H265),H265*CTL_PriceLife*CTL_Monetize,H265)</f>
        <v>68.2212927543802</v>
      </c>
      <c r="I266" s="209" t="n">
        <f aca="false">IF(ISNUMBER(I265),I265*CTL_PriceLife*CTL_Monetize,I265)</f>
        <v>78.6993390379429</v>
      </c>
      <c r="J266" s="209" t="n">
        <f aca="false">IF(ISNUMBER(J265),J265*CTL_PriceLife*CTL_Monetize,J265)</f>
        <v>78.6993390379429</v>
      </c>
      <c r="K266" s="209" t="n">
        <f aca="false">IF(ISNUMBER(K265),K265*CTL_PriceLife*CTL_Monetize,K265)</f>
        <v>78.6993390379429</v>
      </c>
      <c r="L266" s="209" t="n">
        <f aca="false">IF(ISNUMBER(L265),L265*CTL_PriceLife*CTL_Monetize,L265)</f>
        <v>182.037727038631</v>
      </c>
      <c r="M266" s="209" t="n">
        <f aca="false">IF(ISNUMBER(M265),M265*CTL_PriceLife*CTL_Monetize,M265)</f>
        <v>182.037727038631</v>
      </c>
      <c r="N266" s="209" t="n">
        <f aca="false">IF(ISNUMBER(N265),N265*CTL_PriceLife*CTL_Monetize,N265)</f>
        <v>182.037727038631</v>
      </c>
      <c r="O266" s="209" t="n">
        <f aca="false">IF(ISNUMBER(O265),O265*CTL_PriceLife*CTL_Monetize,O265)</f>
        <v>268.316842301542</v>
      </c>
      <c r="P266" s="209" t="n">
        <f aca="false">IF(ISNUMBER(P265),P265*CTL_PriceLife*CTL_Monetize,P265)</f>
        <v>268.316842301542</v>
      </c>
      <c r="Q266" s="209" t="n">
        <f aca="false">IF(ISNUMBER(Q265),Q265*CTL_PriceLife*CTL_Monetize,Q265)</f>
        <v>268.316842301542</v>
      </c>
      <c r="R26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2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2653</v>
      </c>
      <c r="U266" s="42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53" t="s">
        <v>2704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2713</v>
      </c>
    </row>
    <row r="268" customFormat="false" ht="15" hidden="false" customHeight="true" outlineLevel="0" collapsed="false">
      <c r="A268" s="42" t="s">
        <v>2714</v>
      </c>
      <c r="B268" s="28" t="s">
        <v>1814</v>
      </c>
      <c r="C268" s="209" t="n">
        <f aca="false">IF(ISNUMBER(C147),C147/IF_Util,C147)</f>
        <v>5.49341814598317</v>
      </c>
      <c r="D268" s="209" t="n">
        <f aca="false">IF(ISNUMBER(D147),D147/IF_Util,D147)</f>
        <v>5.49341814598317</v>
      </c>
      <c r="E268" s="209" t="n">
        <f aca="false">IF(ISNUMBER(E147),E147/IF_Util,E147)</f>
        <v>5.49341814598317</v>
      </c>
      <c r="F268" s="209" t="n">
        <f aca="false">IF(ISNUMBER(F147),F147/IF_Util,F147)</f>
        <v>32.8697872816951</v>
      </c>
      <c r="G268" s="209" t="n">
        <f aca="false">IF(ISNUMBER(G147),G147/IF_Util,G147)</f>
        <v>32.8697872816951</v>
      </c>
      <c r="H268" s="209" t="n">
        <f aca="false">IF(ISNUMBER(H147),H147/IF_Util,H147)</f>
        <v>32.8697872816951</v>
      </c>
      <c r="I268" s="209" t="n">
        <f aca="false">IF(ISNUMBER(I147),I147/IF_Util,I147)</f>
        <v>42.7930185285984</v>
      </c>
      <c r="J268" s="209" t="n">
        <f aca="false">IF(ISNUMBER(J147),J147/IF_Util,J147)</f>
        <v>42.7930185285984</v>
      </c>
      <c r="K268" s="209" t="n">
        <f aca="false">IF(ISNUMBER(K147),K147/IF_Util,K147)</f>
        <v>42.7930185285984</v>
      </c>
      <c r="L268" s="209" t="n">
        <f aca="false">IF(ISNUMBER(L147),L147/IF_Util,L147)</f>
        <v>79.3838024058832</v>
      </c>
      <c r="M268" s="209" t="n">
        <f aca="false">IF(ISNUMBER(M147),M147/IF_Util,M147)</f>
        <v>79.3838024058832</v>
      </c>
      <c r="N268" s="209" t="n">
        <f aca="false">IF(ISNUMBER(N147),N147/IF_Util,N147)</f>
        <v>79.3838024058832</v>
      </c>
      <c r="O268" s="209" t="n">
        <f aca="false">IF(ISNUMBER(O147),O147/IF_Util,O147)</f>
        <v>112.301339995192</v>
      </c>
      <c r="P268" s="209" t="n">
        <f aca="false">IF(ISNUMBER(P147),P147/IF_Util,P147)</f>
        <v>112.301339995192</v>
      </c>
      <c r="Q268" s="209" t="n">
        <f aca="false">IF(ISNUMBER(Q147),Q147/IF_Util,Q147)</f>
        <v>112.301339995192</v>
      </c>
      <c r="R268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2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2430</v>
      </c>
      <c r="U268" s="42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53" t="s">
        <v>2565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2" t="s">
        <v>2715</v>
      </c>
      <c r="B269" s="28" t="s">
        <v>1814</v>
      </c>
      <c r="C269" s="209" t="n">
        <f aca="false">C147</f>
        <v>3.2960508875899</v>
      </c>
      <c r="D269" s="209" t="n">
        <f aca="false">D147</f>
        <v>3.2960508875899</v>
      </c>
      <c r="E269" s="209" t="n">
        <f aca="false">E147</f>
        <v>3.2960508875899</v>
      </c>
      <c r="F269" s="209" t="n">
        <f aca="false">F147</f>
        <v>19.7218723690171</v>
      </c>
      <c r="G269" s="209" t="n">
        <f aca="false">G147</f>
        <v>19.7218723690171</v>
      </c>
      <c r="H269" s="209" t="n">
        <f aca="false">H147</f>
        <v>19.7218723690171</v>
      </c>
      <c r="I269" s="209" t="n">
        <f aca="false">I147</f>
        <v>25.6758111171591</v>
      </c>
      <c r="J269" s="209" t="n">
        <f aca="false">J147</f>
        <v>25.6758111171591</v>
      </c>
      <c r="K269" s="209" t="n">
        <f aca="false">K147</f>
        <v>25.6758111171591</v>
      </c>
      <c r="L269" s="209" t="n">
        <f aca="false">L147</f>
        <v>47.6302814435299</v>
      </c>
      <c r="M269" s="209" t="n">
        <f aca="false">M147</f>
        <v>47.6302814435299</v>
      </c>
      <c r="N269" s="209" t="n">
        <f aca="false">N147</f>
        <v>47.6302814435299</v>
      </c>
      <c r="O269" s="209" t="n">
        <f aca="false">O147</f>
        <v>67.3808039971155</v>
      </c>
      <c r="P269" s="209" t="n">
        <f aca="false">P147</f>
        <v>67.3808039971155</v>
      </c>
      <c r="Q269" s="209" t="n">
        <f aca="false">Q147</f>
        <v>67.3808039971155</v>
      </c>
      <c r="R269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2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2455</v>
      </c>
      <c r="U269" s="42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53" t="s">
        <v>2565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2" t="s">
        <v>2716</v>
      </c>
      <c r="B270" s="28" t="s">
        <v>1814</v>
      </c>
      <c r="C270" s="188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2.34609687931515</v>
      </c>
      <c r="D270" s="188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2.34609687931515</v>
      </c>
      <c r="E270" s="188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2.34609687931515</v>
      </c>
      <c r="F270" s="188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14.9421425268728</v>
      </c>
      <c r="G270" s="188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14.9421425268728</v>
      </c>
      <c r="H270" s="188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14.9421425268728</v>
      </c>
      <c r="I270" s="188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18.8008647830035</v>
      </c>
      <c r="J270" s="188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18.8008647830035</v>
      </c>
      <c r="K270" s="188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18.8008647830035</v>
      </c>
      <c r="L270" s="188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37.2592093918012</v>
      </c>
      <c r="M270" s="188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37.2592093918012</v>
      </c>
      <c r="N270" s="188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37.2592093918012</v>
      </c>
      <c r="O270" s="188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53.1969643993537</v>
      </c>
      <c r="P270" s="188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53.1969643993537</v>
      </c>
      <c r="Q270" s="188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53.1969643993537</v>
      </c>
      <c r="R270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2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2641</v>
      </c>
      <c r="U270" s="42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53" t="s">
        <v>2717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2" t="s">
        <v>2718</v>
      </c>
      <c r="B271" s="28" t="s">
        <v>1814</v>
      </c>
      <c r="C271" s="209" t="n">
        <f aca="false">IF(ISNUMBER(C270),C270*CTL_PriceLife*CTL_Monetize,C270)</f>
        <v>2.34609687931515</v>
      </c>
      <c r="D271" s="209" t="n">
        <f aca="false">IF(ISNUMBER(D270),D270*CTL_PriceLife*CTL_Monetize,D270)</f>
        <v>2.34609687931515</v>
      </c>
      <c r="E271" s="209" t="n">
        <f aca="false">IF(ISNUMBER(E270),E270*CTL_PriceLife*CTL_Monetize,E270)</f>
        <v>2.34609687931515</v>
      </c>
      <c r="F271" s="209" t="n">
        <f aca="false">IF(ISNUMBER(F270),F270*CTL_PriceLife*CTL_Monetize,F270)</f>
        <v>14.9421425268728</v>
      </c>
      <c r="G271" s="209" t="n">
        <f aca="false">IF(ISNUMBER(G270),G270*CTL_PriceLife*CTL_Monetize,G270)</f>
        <v>14.9421425268728</v>
      </c>
      <c r="H271" s="209" t="n">
        <f aca="false">IF(ISNUMBER(H270),H270*CTL_PriceLife*CTL_Monetize,H270)</f>
        <v>14.9421425268728</v>
      </c>
      <c r="I271" s="209" t="n">
        <f aca="false">IF(ISNUMBER(I270),I270*CTL_PriceLife*CTL_Monetize,I270)</f>
        <v>18.8008647830035</v>
      </c>
      <c r="J271" s="209" t="n">
        <f aca="false">IF(ISNUMBER(J270),J270*CTL_PriceLife*CTL_Monetize,J270)</f>
        <v>18.8008647830035</v>
      </c>
      <c r="K271" s="209" t="n">
        <f aca="false">IF(ISNUMBER(K270),K270*CTL_PriceLife*CTL_Monetize,K270)</f>
        <v>18.8008647830035</v>
      </c>
      <c r="L271" s="209" t="n">
        <f aca="false">IF(ISNUMBER(L270),L270*CTL_PriceLife*CTL_Monetize,L270)</f>
        <v>37.2592093918012</v>
      </c>
      <c r="M271" s="209" t="n">
        <f aca="false">IF(ISNUMBER(M270),M270*CTL_PriceLife*CTL_Monetize,M270)</f>
        <v>37.2592093918012</v>
      </c>
      <c r="N271" s="209" t="n">
        <f aca="false">IF(ISNUMBER(N270),N270*CTL_PriceLife*CTL_Monetize,N270)</f>
        <v>37.2592093918012</v>
      </c>
      <c r="O271" s="209" t="n">
        <f aca="false">IF(ISNUMBER(O270),O270*CTL_PriceLife*CTL_Monetize,O270)</f>
        <v>53.1969643993537</v>
      </c>
      <c r="P271" s="209" t="n">
        <f aca="false">IF(ISNUMBER(P270),P270*CTL_PriceLife*CTL_Monetize,P270)</f>
        <v>53.1969643993537</v>
      </c>
      <c r="Q271" s="209" t="n">
        <f aca="false">IF(ISNUMBER(Q270),Q270*CTL_PriceLife*CTL_Monetize,Q270)</f>
        <v>53.1969643993537</v>
      </c>
      <c r="R271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2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2653</v>
      </c>
      <c r="U271" s="42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53" t="s">
        <v>2719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2720</v>
      </c>
    </row>
    <row r="273" customFormat="false" ht="15" hidden="false" customHeight="true" outlineLevel="0" collapsed="false">
      <c r="A273" s="42" t="s">
        <v>2721</v>
      </c>
      <c r="B273" s="28" t="s">
        <v>799</v>
      </c>
      <c r="C273" s="55" t="n">
        <f aca="false">C21</f>
        <v>64057059441.4818</v>
      </c>
      <c r="D273" s="55" t="n">
        <f aca="false">D21</f>
        <v>64057059441.4818</v>
      </c>
      <c r="E273" s="55" t="n">
        <f aca="false">E21</f>
        <v>64057059441.4818</v>
      </c>
      <c r="F273" s="55" t="n">
        <f aca="false">F21</f>
        <v>362306894085.614</v>
      </c>
      <c r="G273" s="55" t="n">
        <f aca="false">G21</f>
        <v>362306894085.614</v>
      </c>
      <c r="H273" s="55" t="n">
        <f aca="false">H21</f>
        <v>362306894085.614</v>
      </c>
      <c r="I273" s="55" t="n">
        <f aca="false">I21</f>
        <v>527473919843.971</v>
      </c>
      <c r="J273" s="55" t="n">
        <f aca="false">J21</f>
        <v>527473919843.971</v>
      </c>
      <c r="K273" s="55" t="n">
        <f aca="false">K21</f>
        <v>527473919843.971</v>
      </c>
      <c r="L273" s="55" t="n">
        <f aca="false">L21</f>
        <v>772778400993.445</v>
      </c>
      <c r="M273" s="55" t="n">
        <f aca="false">M21</f>
        <v>772778400993.445</v>
      </c>
      <c r="N273" s="55" t="n">
        <f aca="false">N21</f>
        <v>772778400993.445</v>
      </c>
      <c r="O273" s="55" t="n">
        <f aca="false">O21</f>
        <v>1044373713057.39</v>
      </c>
      <c r="P273" s="55" t="n">
        <f aca="false">P21</f>
        <v>1044373713057.39</v>
      </c>
      <c r="Q273" s="55" t="n">
        <f aca="false">Q21</f>
        <v>1044373713057.39</v>
      </c>
      <c r="R273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3" s="42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2430</v>
      </c>
      <c r="U273" s="42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3" s="53" t="s">
        <v>2433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2" t="s">
        <v>2722</v>
      </c>
      <c r="B274" s="28" t="s">
        <v>799</v>
      </c>
      <c r="C274" s="55" t="n">
        <f aca="false">IF(ISNUMBER(C21),C21*IF_Util,C21)</f>
        <v>38434235664.8891</v>
      </c>
      <c r="D274" s="55" t="n">
        <f aca="false">IF(ISNUMBER(D21),D21*IF_Util,D21)</f>
        <v>38434235664.8891</v>
      </c>
      <c r="E274" s="55" t="n">
        <f aca="false">IF(ISNUMBER(E21),E21*IF_Util,E21)</f>
        <v>38434235664.8891</v>
      </c>
      <c r="F274" s="55" t="n">
        <f aca="false">IF(ISNUMBER(F21),F21*IF_Util,F21)</f>
        <v>217384136451.368</v>
      </c>
      <c r="G274" s="55" t="n">
        <f aca="false">IF(ISNUMBER(G21),G21*IF_Util,G21)</f>
        <v>217384136451.368</v>
      </c>
      <c r="H274" s="55" t="n">
        <f aca="false">IF(ISNUMBER(H21),H21*IF_Util,H21)</f>
        <v>217384136451.368</v>
      </c>
      <c r="I274" s="55" t="n">
        <f aca="false">IF(ISNUMBER(I21),I21*IF_Util,I21)</f>
        <v>316484351906.383</v>
      </c>
      <c r="J274" s="55" t="n">
        <f aca="false">IF(ISNUMBER(J21),J21*IF_Util,J21)</f>
        <v>316484351906.383</v>
      </c>
      <c r="K274" s="55" t="n">
        <f aca="false">IF(ISNUMBER(K21),K21*IF_Util,K21)</f>
        <v>316484351906.383</v>
      </c>
      <c r="L274" s="55" t="n">
        <f aca="false">IF(ISNUMBER(L21),L21*IF_Util,L21)</f>
        <v>463667040596.067</v>
      </c>
      <c r="M274" s="55" t="n">
        <f aca="false">IF(ISNUMBER(M21),M21*IF_Util,M21)</f>
        <v>463667040596.067</v>
      </c>
      <c r="N274" s="55" t="n">
        <f aca="false">IF(ISNUMBER(N21),N21*IF_Util,N21)</f>
        <v>463667040596.067</v>
      </c>
      <c r="O274" s="55" t="n">
        <f aca="false">IF(ISNUMBER(O21),O21*IF_Util,O21)</f>
        <v>626624227834.433</v>
      </c>
      <c r="P274" s="55" t="n">
        <f aca="false">IF(ISNUMBER(P21),P21*IF_Util,P21)</f>
        <v>626624227834.433</v>
      </c>
      <c r="Q274" s="55" t="n">
        <f aca="false">IF(ISNUMBER(Q21),Q21*IF_Util,Q21)</f>
        <v>626624227834.433</v>
      </c>
      <c r="R27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74" s="42" t="str">
        <f aca="false">IF(R274="—","—",IF(R274="A","基準輸入",IF(R274="B","情境、相對比較、反轉門檻","探索")))</f>
        <v>情境、相對比較、反轉門檻</v>
      </c>
      <c r="T274" s="28" t="s">
        <v>2455</v>
      </c>
      <c r="U274" s="42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74" s="53" t="s">
        <v>2723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2" t="s">
        <v>2724</v>
      </c>
      <c r="B275" s="28" t="s">
        <v>799</v>
      </c>
      <c r="C275" s="47" t="n">
        <f aca="false">Theory_Rev_Prod!C10</f>
        <v>25936151175.9654</v>
      </c>
      <c r="D275" s="47" t="n">
        <f aca="false">Theory_Rev_Prod!D10</f>
        <v>25936151175.9654</v>
      </c>
      <c r="E275" s="47" t="n">
        <f aca="false">Theory_Rev_Prod!E10</f>
        <v>25936151175.9654</v>
      </c>
      <c r="F275" s="47" t="n">
        <f aca="false">Theory_Rev_Prod!F10</f>
        <v>169939535002.135</v>
      </c>
      <c r="G275" s="47" t="n">
        <f aca="false">Theory_Rev_Prod!G10</f>
        <v>169939535002.135</v>
      </c>
      <c r="H275" s="47" t="n">
        <f aca="false">Theory_Rev_Prod!H10</f>
        <v>169939535002.135</v>
      </c>
      <c r="I275" s="47" t="n">
        <f aca="false">Theory_Rev_Prod!I10</f>
        <v>247410894264.839</v>
      </c>
      <c r="J275" s="47" t="n">
        <f aca="false">Theory_Rev_Prod!J10</f>
        <v>247410894264.839</v>
      </c>
      <c r="K275" s="47" t="n">
        <f aca="false">Theory_Rev_Prod!K10</f>
        <v>247410894264.839</v>
      </c>
      <c r="L275" s="47" t="n">
        <f aca="false">Theory_Rev_Prod!L10</f>
        <v>364947447719.714</v>
      </c>
      <c r="M275" s="47" t="n">
        <f aca="false">Theory_Rev_Prod!M10</f>
        <v>364947447719.714</v>
      </c>
      <c r="N275" s="47" t="n">
        <f aca="false">Theory_Rev_Prod!N10</f>
        <v>364947447719.714</v>
      </c>
      <c r="O275" s="47" t="n">
        <f aca="false">Theory_Rev_Prod!O10</f>
        <v>494044742874.106</v>
      </c>
      <c r="P275" s="47" t="n">
        <f aca="false">Theory_Rev_Prod!P10</f>
        <v>494044742874.106</v>
      </c>
      <c r="Q275" s="47" t="n">
        <f aca="false">Theory_Rev_Prod!Q10</f>
        <v>494044742874.106</v>
      </c>
      <c r="R27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75" s="42" t="str">
        <f aca="false">IF(R275="—","—",IF(R275="A","基準輸入",IF(R275="B","情境、相對比較、反轉門檻","探索")))</f>
        <v>情境、相對比較、反轉門檻</v>
      </c>
      <c r="T275" s="28" t="s">
        <v>2641</v>
      </c>
      <c r="U275" s="42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75" s="53" t="s">
        <v>2725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2" t="s">
        <v>2726</v>
      </c>
      <c r="B276" s="28" t="s">
        <v>799</v>
      </c>
      <c r="C276" s="55" t="n">
        <f aca="false">IF(ISNUMBER(C275),C275*1,C275)</f>
        <v>25936151175.9654</v>
      </c>
      <c r="D276" s="55" t="n">
        <f aca="false">IF(ISNUMBER(D275),D275*1,D275)</f>
        <v>25936151175.9654</v>
      </c>
      <c r="E276" s="55" t="n">
        <f aca="false">IF(ISNUMBER(E275),E275*1,E275)</f>
        <v>25936151175.9654</v>
      </c>
      <c r="F276" s="55" t="n">
        <f aca="false">IF(ISNUMBER(F275),F275*1,F275)</f>
        <v>169939535002.135</v>
      </c>
      <c r="G276" s="55" t="n">
        <f aca="false">IF(ISNUMBER(G275),G275*1,G275)</f>
        <v>169939535002.135</v>
      </c>
      <c r="H276" s="55" t="n">
        <f aca="false">IF(ISNUMBER(H275),H275*1,H275)</f>
        <v>169939535002.135</v>
      </c>
      <c r="I276" s="55" t="n">
        <f aca="false">IF(ISNUMBER(I275),I275*1,I275)</f>
        <v>247410894264.839</v>
      </c>
      <c r="J276" s="55" t="n">
        <f aca="false">IF(ISNUMBER(J275),J275*1,J275)</f>
        <v>247410894264.839</v>
      </c>
      <c r="K276" s="55" t="n">
        <f aca="false">IF(ISNUMBER(K275),K275*1,K275)</f>
        <v>247410894264.839</v>
      </c>
      <c r="L276" s="55" t="n">
        <f aca="false">IF(ISNUMBER(L275),L275*1,L275)</f>
        <v>364947447719.714</v>
      </c>
      <c r="M276" s="55" t="n">
        <f aca="false">IF(ISNUMBER(M275),M275*1,M275)</f>
        <v>364947447719.714</v>
      </c>
      <c r="N276" s="55" t="n">
        <f aca="false">IF(ISNUMBER(N275),N275*1,N275)</f>
        <v>364947447719.714</v>
      </c>
      <c r="O276" s="55" t="n">
        <f aca="false">IF(ISNUMBER(O275),O275*1,O275)</f>
        <v>494044742874.106</v>
      </c>
      <c r="P276" s="55" t="n">
        <f aca="false">IF(ISNUMBER(P275),P275*1,P275)</f>
        <v>494044742874.106</v>
      </c>
      <c r="Q276" s="55" t="n">
        <f aca="false">IF(ISNUMBER(Q275),Q275*1,Q275)</f>
        <v>494044742874.106</v>
      </c>
      <c r="R27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76" s="42" t="str">
        <f aca="false">IF(R276="—","—",IF(R276="A","基準輸入",IF(R276="B","情境、相對比較、反轉門檻","探索")))</f>
        <v>情境、相對比較、反轉門檻</v>
      </c>
      <c r="T276" s="28" t="s">
        <v>2653</v>
      </c>
      <c r="U276" s="42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76" s="53" t="s">
        <v>2725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2720</v>
      </c>
    </row>
    <row r="278" customFormat="false" ht="15" hidden="false" customHeight="true" outlineLevel="0" collapsed="false">
      <c r="A278" s="42" t="s">
        <v>2727</v>
      </c>
      <c r="B278" s="28" t="s">
        <v>799</v>
      </c>
      <c r="C278" s="55" t="n">
        <f aca="false">C31</f>
        <v>18596612433.2849</v>
      </c>
      <c r="D278" s="55" t="n">
        <f aca="false">D31</f>
        <v>18596612433.2849</v>
      </c>
      <c r="E278" s="55" t="n">
        <f aca="false">E31</f>
        <v>18596612433.2849</v>
      </c>
      <c r="F278" s="55" t="n">
        <f aca="false">F31</f>
        <v>104125401080.667</v>
      </c>
      <c r="G278" s="55" t="n">
        <f aca="false">G31</f>
        <v>104125401080.667</v>
      </c>
      <c r="H278" s="55" t="n">
        <f aca="false">H31</f>
        <v>104125401080.667</v>
      </c>
      <c r="I278" s="55" t="n">
        <f aca="false">I31</f>
        <v>151593674754.548</v>
      </c>
      <c r="J278" s="55" t="n">
        <f aca="false">J31</f>
        <v>151593674754.548</v>
      </c>
      <c r="K278" s="55" t="n">
        <f aca="false">K31</f>
        <v>151593674754.548</v>
      </c>
      <c r="L278" s="55" t="n">
        <f aca="false">L31</f>
        <v>237287338734.99</v>
      </c>
      <c r="M278" s="55" t="n">
        <f aca="false">M31</f>
        <v>237287338734.99</v>
      </c>
      <c r="N278" s="55" t="n">
        <f aca="false">N31</f>
        <v>237287338734.99</v>
      </c>
      <c r="O278" s="55" t="n">
        <f aca="false">O31</f>
        <v>326185670522.351</v>
      </c>
      <c r="P278" s="55" t="n">
        <f aca="false">P31</f>
        <v>326185670522.351</v>
      </c>
      <c r="Q278" s="55" t="n">
        <f aca="false">Q31</f>
        <v>326185670522.351</v>
      </c>
      <c r="R278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8" s="42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2430</v>
      </c>
      <c r="U278" s="42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8" s="53" t="s">
        <v>2433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2" t="s">
        <v>2728</v>
      </c>
      <c r="B279" s="28" t="s">
        <v>799</v>
      </c>
      <c r="C279" s="55" t="n">
        <f aca="false">IF(ISNUMBER(C31),C31*IF_Util,C31)</f>
        <v>11157967459.971</v>
      </c>
      <c r="D279" s="55" t="n">
        <f aca="false">IF(ISNUMBER(D31),D31*IF_Util,D31)</f>
        <v>11157967459.971</v>
      </c>
      <c r="E279" s="55" t="n">
        <f aca="false">IF(ISNUMBER(E31),E31*IF_Util,E31)</f>
        <v>11157967459.971</v>
      </c>
      <c r="F279" s="55" t="n">
        <f aca="false">IF(ISNUMBER(F31),F31*IF_Util,F31)</f>
        <v>62475240648.4001</v>
      </c>
      <c r="G279" s="55" t="n">
        <f aca="false">IF(ISNUMBER(G31),G31*IF_Util,G31)</f>
        <v>62475240648.4001</v>
      </c>
      <c r="H279" s="55" t="n">
        <f aca="false">IF(ISNUMBER(H31),H31*IF_Util,H31)</f>
        <v>62475240648.4001</v>
      </c>
      <c r="I279" s="55" t="n">
        <f aca="false">IF(ISNUMBER(I31),I31*IF_Util,I31)</f>
        <v>90956204852.7288</v>
      </c>
      <c r="J279" s="55" t="n">
        <f aca="false">IF(ISNUMBER(J31),J31*IF_Util,J31)</f>
        <v>90956204852.7288</v>
      </c>
      <c r="K279" s="55" t="n">
        <f aca="false">IF(ISNUMBER(K31),K31*IF_Util,K31)</f>
        <v>90956204852.7288</v>
      </c>
      <c r="L279" s="55" t="n">
        <f aca="false">IF(ISNUMBER(L31),L31*IF_Util,L31)</f>
        <v>142372403240.994</v>
      </c>
      <c r="M279" s="55" t="n">
        <f aca="false">IF(ISNUMBER(M31),M31*IF_Util,M31)</f>
        <v>142372403240.994</v>
      </c>
      <c r="N279" s="55" t="n">
        <f aca="false">IF(ISNUMBER(N31),N31*IF_Util,N31)</f>
        <v>142372403240.994</v>
      </c>
      <c r="O279" s="55" t="n">
        <f aca="false">IF(ISNUMBER(O31),O31*IF_Util,O31)</f>
        <v>195711402313.41</v>
      </c>
      <c r="P279" s="55" t="n">
        <f aca="false">IF(ISNUMBER(P31),P31*IF_Util,P31)</f>
        <v>195711402313.41</v>
      </c>
      <c r="Q279" s="55" t="n">
        <f aca="false">IF(ISNUMBER(Q31),Q31*IF_Util,Q31)</f>
        <v>195711402313.41</v>
      </c>
      <c r="R279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79" s="42" t="str">
        <f aca="false">IF(R279="—","—",IF(R279="A","基準輸入",IF(R279="B","情境、相對比較、反轉門檻","探索")))</f>
        <v>情境、相對比較、反轉門檻</v>
      </c>
      <c r="T279" s="28" t="s">
        <v>2455</v>
      </c>
      <c r="U279" s="42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79" s="53" t="s">
        <v>2723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2" t="s">
        <v>2729</v>
      </c>
      <c r="B280" s="28" t="s">
        <v>799</v>
      </c>
      <c r="C280" s="47" t="n">
        <f aca="false">Theory_Rev_Prod!C28</f>
        <v>8056029509.73962</v>
      </c>
      <c r="D280" s="47" t="n">
        <f aca="false">Theory_Rev_Prod!D28</f>
        <v>8056029509.73962</v>
      </c>
      <c r="E280" s="47" t="n">
        <f aca="false">Theory_Rev_Prod!E28</f>
        <v>8056029509.73962</v>
      </c>
      <c r="F280" s="47" t="n">
        <f aca="false">Theory_Rev_Prod!F28</f>
        <v>49873311614.5235</v>
      </c>
      <c r="G280" s="47" t="n">
        <f aca="false">Theory_Rev_Prod!G28</f>
        <v>49873311614.5235</v>
      </c>
      <c r="H280" s="47" t="n">
        <f aca="false">Theory_Rev_Prod!H28</f>
        <v>49873311614.5235</v>
      </c>
      <c r="I280" s="47" t="n">
        <f aca="false">Theory_Rev_Prod!I28</f>
        <v>72609358536.5125</v>
      </c>
      <c r="J280" s="47" t="n">
        <f aca="false">Theory_Rev_Prod!J28</f>
        <v>72609358536.5125</v>
      </c>
      <c r="K280" s="47" t="n">
        <f aca="false">Theory_Rev_Prod!K28</f>
        <v>72609358536.5125</v>
      </c>
      <c r="L280" s="47" t="n">
        <f aca="false">Theory_Rev_Prod!L28</f>
        <v>114986431721.293</v>
      </c>
      <c r="M280" s="47" t="n">
        <f aca="false">Theory_Rev_Prod!M28</f>
        <v>114986431721.293</v>
      </c>
      <c r="N280" s="47" t="n">
        <f aca="false">Theory_Rev_Prod!N28</f>
        <v>114986431721.293</v>
      </c>
      <c r="O280" s="47" t="n">
        <f aca="false">Theory_Rev_Prod!O28</f>
        <v>158498904523.277</v>
      </c>
      <c r="P280" s="47" t="n">
        <f aca="false">Theory_Rev_Prod!P28</f>
        <v>158498904523.277</v>
      </c>
      <c r="Q280" s="47" t="n">
        <f aca="false">Theory_Rev_Prod!Q28</f>
        <v>158498904523.277</v>
      </c>
      <c r="R280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0" s="42" t="str">
        <f aca="false">IF(R280="—","—",IF(R280="A","基準輸入",IF(R280="B","情境、相對比較、反轉門檻","探索")))</f>
        <v>情境、相對比較、反轉門檻</v>
      </c>
      <c r="T280" s="28" t="s">
        <v>2641</v>
      </c>
      <c r="U280" s="42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0" s="53" t="s">
        <v>2725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2" t="s">
        <v>2730</v>
      </c>
      <c r="B281" s="28" t="s">
        <v>799</v>
      </c>
      <c r="C281" s="55" t="n">
        <f aca="false">IF(ISNUMBER(C280),C280*1,C280)</f>
        <v>8056029509.73962</v>
      </c>
      <c r="D281" s="55" t="n">
        <f aca="false">IF(ISNUMBER(D280),D280*1,D280)</f>
        <v>8056029509.73962</v>
      </c>
      <c r="E281" s="55" t="n">
        <f aca="false">IF(ISNUMBER(E280),E280*1,E280)</f>
        <v>8056029509.73962</v>
      </c>
      <c r="F281" s="55" t="n">
        <f aca="false">IF(ISNUMBER(F280),F280*1,F280)</f>
        <v>49873311614.5235</v>
      </c>
      <c r="G281" s="55" t="n">
        <f aca="false">IF(ISNUMBER(G280),G280*1,G280)</f>
        <v>49873311614.5235</v>
      </c>
      <c r="H281" s="55" t="n">
        <f aca="false">IF(ISNUMBER(H280),H280*1,H280)</f>
        <v>49873311614.5235</v>
      </c>
      <c r="I281" s="55" t="n">
        <f aca="false">IF(ISNUMBER(I280),I280*1,I280)</f>
        <v>72609358536.5125</v>
      </c>
      <c r="J281" s="55" t="n">
        <f aca="false">IF(ISNUMBER(J280),J280*1,J280)</f>
        <v>72609358536.5125</v>
      </c>
      <c r="K281" s="55" t="n">
        <f aca="false">IF(ISNUMBER(K280),K280*1,K280)</f>
        <v>72609358536.5125</v>
      </c>
      <c r="L281" s="55" t="n">
        <f aca="false">IF(ISNUMBER(L280),L280*1,L280)</f>
        <v>114986431721.293</v>
      </c>
      <c r="M281" s="55" t="n">
        <f aca="false">IF(ISNUMBER(M280),M280*1,M280)</f>
        <v>114986431721.293</v>
      </c>
      <c r="N281" s="55" t="n">
        <f aca="false">IF(ISNUMBER(N280),N280*1,N280)</f>
        <v>114986431721.293</v>
      </c>
      <c r="O281" s="55" t="n">
        <f aca="false">IF(ISNUMBER(O280),O280*1,O280)</f>
        <v>158498904523.277</v>
      </c>
      <c r="P281" s="55" t="n">
        <f aca="false">IF(ISNUMBER(P280),P280*1,P280)</f>
        <v>158498904523.277</v>
      </c>
      <c r="Q281" s="55" t="n">
        <f aca="false">IF(ISNUMBER(Q280),Q280*1,Q280)</f>
        <v>158498904523.277</v>
      </c>
      <c r="R281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1" s="42" t="str">
        <f aca="false">IF(R281="—","—",IF(R281="A","基準輸入",IF(R281="B","情境、相對比較、反轉門檻","探索")))</f>
        <v>情境、相對比較、反轉門檻</v>
      </c>
      <c r="T281" s="28" t="s">
        <v>2653</v>
      </c>
      <c r="U281" s="42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1" s="53" t="s">
        <v>2725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2720</v>
      </c>
    </row>
    <row r="283" customFormat="false" ht="15" hidden="false" customHeight="true" outlineLevel="0" collapsed="false">
      <c r="A283" s="42" t="s">
        <v>2731</v>
      </c>
      <c r="B283" s="28" t="s">
        <v>799</v>
      </c>
      <c r="C283" s="55" t="str">
        <f aca="false">C41</f>
        <v>TTFT 不可達</v>
      </c>
      <c r="D283" s="55" t="str">
        <f aca="false">D41</f>
        <v>TTFT 不可達</v>
      </c>
      <c r="E283" s="55" t="str">
        <f aca="false">E41</f>
        <v>TTFT 不可達</v>
      </c>
      <c r="F283" s="55" t="n">
        <f aca="false">F41</f>
        <v>20041838664.2467</v>
      </c>
      <c r="G283" s="55" t="n">
        <f aca="false">G41</f>
        <v>20041838664.2467</v>
      </c>
      <c r="H283" s="55" t="n">
        <f aca="false">H41</f>
        <v>20041838664.2467</v>
      </c>
      <c r="I283" s="55" t="n">
        <f aca="false">I41</f>
        <v>24234237528.7831</v>
      </c>
      <c r="J283" s="55" t="n">
        <f aca="false">J41</f>
        <v>24234237528.7831</v>
      </c>
      <c r="K283" s="55" t="n">
        <f aca="false">K41</f>
        <v>24234237528.7831</v>
      </c>
      <c r="L283" s="55" t="n">
        <f aca="false">L41</f>
        <v>51167890551.5595</v>
      </c>
      <c r="M283" s="55" t="n">
        <f aca="false">M41</f>
        <v>51167890551.5595</v>
      </c>
      <c r="N283" s="55" t="n">
        <f aca="false">N41</f>
        <v>51167890551.5595</v>
      </c>
      <c r="O283" s="55" t="n">
        <f aca="false">O41</f>
        <v>74400955991.7707</v>
      </c>
      <c r="P283" s="55" t="n">
        <f aca="false">P41</f>
        <v>74400955991.7707</v>
      </c>
      <c r="Q283" s="55" t="n">
        <f aca="false">Q41</f>
        <v>74400955991.7707</v>
      </c>
      <c r="R283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83" s="42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2430</v>
      </c>
      <c r="U283" s="42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83" s="53" t="s">
        <v>2433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2" t="s">
        <v>2732</v>
      </c>
      <c r="B284" s="28" t="s">
        <v>799</v>
      </c>
      <c r="C284" s="55" t="str">
        <f aca="false">IF(ISNUMBER(C41),C41*IF_Util,C41)</f>
        <v>TTFT 不可達</v>
      </c>
      <c r="D284" s="55" t="str">
        <f aca="false">IF(ISNUMBER(D41),D41*IF_Util,D41)</f>
        <v>TTFT 不可達</v>
      </c>
      <c r="E284" s="55" t="str">
        <f aca="false">IF(ISNUMBER(E41),E41*IF_Util,E41)</f>
        <v>TTFT 不可達</v>
      </c>
      <c r="F284" s="55" t="n">
        <f aca="false">IF(ISNUMBER(F41),F41*IF_Util,F41)</f>
        <v>12025103198.548</v>
      </c>
      <c r="G284" s="55" t="n">
        <f aca="false">IF(ISNUMBER(G41),G41*IF_Util,G41)</f>
        <v>12025103198.548</v>
      </c>
      <c r="H284" s="55" t="n">
        <f aca="false">IF(ISNUMBER(H41),H41*IF_Util,H41)</f>
        <v>12025103198.548</v>
      </c>
      <c r="I284" s="55" t="n">
        <f aca="false">IF(ISNUMBER(I41),I41*IF_Util,I41)</f>
        <v>14540542517.2698</v>
      </c>
      <c r="J284" s="55" t="n">
        <f aca="false">IF(ISNUMBER(J41),J41*IF_Util,J41)</f>
        <v>14540542517.2698</v>
      </c>
      <c r="K284" s="55" t="n">
        <f aca="false">IF(ISNUMBER(K41),K41*IF_Util,K41)</f>
        <v>14540542517.2698</v>
      </c>
      <c r="L284" s="55" t="n">
        <f aca="false">IF(ISNUMBER(L41),L41*IF_Util,L41)</f>
        <v>30700734330.9357</v>
      </c>
      <c r="M284" s="55" t="n">
        <f aca="false">IF(ISNUMBER(M41),M41*IF_Util,M41)</f>
        <v>30700734330.9357</v>
      </c>
      <c r="N284" s="55" t="n">
        <f aca="false">IF(ISNUMBER(N41),N41*IF_Util,N41)</f>
        <v>30700734330.9357</v>
      </c>
      <c r="O284" s="55" t="n">
        <f aca="false">IF(ISNUMBER(O41),O41*IF_Util,O41)</f>
        <v>44640573595.0624</v>
      </c>
      <c r="P284" s="55" t="n">
        <f aca="false">IF(ISNUMBER(P41),P41*IF_Util,P41)</f>
        <v>44640573595.0624</v>
      </c>
      <c r="Q284" s="55" t="n">
        <f aca="false">IF(ISNUMBER(Q41),Q41*IF_Util,Q41)</f>
        <v>44640573595.0624</v>
      </c>
      <c r="R28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84" s="42" t="str">
        <f aca="false">IF(R284="—","—",IF(R284="A","基準輸入",IF(R284="B","情境、相對比較、反轉門檻","探索")))</f>
        <v>情境、相對比較、反轉門檻</v>
      </c>
      <c r="T284" s="28" t="s">
        <v>2455</v>
      </c>
      <c r="U284" s="42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84" s="53" t="s">
        <v>2723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2" t="s">
        <v>2733</v>
      </c>
      <c r="B285" s="28" t="s">
        <v>799</v>
      </c>
      <c r="C285" s="47" t="str">
        <f aca="false">Theory_Rev_Prod!C46</f>
        <v>TTFT 不可達</v>
      </c>
      <c r="D285" s="47" t="str">
        <f aca="false">Theory_Rev_Prod!D46</f>
        <v>TTFT 不可達</v>
      </c>
      <c r="E285" s="47" t="str">
        <f aca="false">Theory_Rev_Prod!E46</f>
        <v>TTFT 不可達</v>
      </c>
      <c r="F285" s="47" t="n">
        <f aca="false">Theory_Rev_Prod!F46</f>
        <v>8811590625.56576</v>
      </c>
      <c r="G285" s="47" t="n">
        <f aca="false">Theory_Rev_Prod!G46</f>
        <v>8811590625.56576</v>
      </c>
      <c r="H285" s="47" t="n">
        <f aca="false">Theory_Rev_Prod!H46</f>
        <v>8811590625.56576</v>
      </c>
      <c r="I285" s="47" t="n">
        <f aca="false">Theory_Rev_Prod!I46</f>
        <v>10164954812.5931</v>
      </c>
      <c r="J285" s="47" t="n">
        <f aca="false">Theory_Rev_Prod!J46</f>
        <v>10164954812.5931</v>
      </c>
      <c r="K285" s="47" t="n">
        <f aca="false">Theory_Rev_Prod!K46</f>
        <v>10164954812.5931</v>
      </c>
      <c r="L285" s="47" t="n">
        <f aca="false">Theory_Rev_Prod!L46</f>
        <v>23512335581.9128</v>
      </c>
      <c r="M285" s="47" t="n">
        <f aca="false">Theory_Rev_Prod!M46</f>
        <v>23512335581.9128</v>
      </c>
      <c r="N285" s="47" t="n">
        <f aca="false">Theory_Rev_Prod!N46</f>
        <v>23512335581.9128</v>
      </c>
      <c r="O285" s="47" t="n">
        <f aca="false">Theory_Rev_Prod!O46</f>
        <v>34656308563.632</v>
      </c>
      <c r="P285" s="47" t="n">
        <f aca="false">Theory_Rev_Prod!P46</f>
        <v>34656308563.632</v>
      </c>
      <c r="Q285" s="47" t="n">
        <f aca="false">Theory_Rev_Prod!Q46</f>
        <v>34656308563.632</v>
      </c>
      <c r="R28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5" s="42" t="str">
        <f aca="false">IF(R285="—","—",IF(R285="A","基準輸入",IF(R285="B","情境、相對比較、反轉門檻","探索")))</f>
        <v>情境、相對比較、反轉門檻</v>
      </c>
      <c r="T285" s="28" t="s">
        <v>2641</v>
      </c>
      <c r="U285" s="42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5" s="53" t="s">
        <v>2725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2" t="s">
        <v>2734</v>
      </c>
      <c r="B286" s="28" t="s">
        <v>799</v>
      </c>
      <c r="C286" s="55" t="str">
        <f aca="false">IF(ISNUMBER(C285),C285*1,C285)</f>
        <v>TTFT 不可達</v>
      </c>
      <c r="D286" s="55" t="str">
        <f aca="false">IF(ISNUMBER(D285),D285*1,D285)</f>
        <v>TTFT 不可達</v>
      </c>
      <c r="E286" s="55" t="str">
        <f aca="false">IF(ISNUMBER(E285),E285*1,E285)</f>
        <v>TTFT 不可達</v>
      </c>
      <c r="F286" s="55" t="n">
        <f aca="false">IF(ISNUMBER(F285),F285*1,F285)</f>
        <v>8811590625.56576</v>
      </c>
      <c r="G286" s="55" t="n">
        <f aca="false">IF(ISNUMBER(G285),G285*1,G285)</f>
        <v>8811590625.56576</v>
      </c>
      <c r="H286" s="55" t="n">
        <f aca="false">IF(ISNUMBER(H285),H285*1,H285)</f>
        <v>8811590625.56576</v>
      </c>
      <c r="I286" s="55" t="n">
        <f aca="false">IF(ISNUMBER(I285),I285*1,I285)</f>
        <v>10164954812.5931</v>
      </c>
      <c r="J286" s="55" t="n">
        <f aca="false">IF(ISNUMBER(J285),J285*1,J285)</f>
        <v>10164954812.5931</v>
      </c>
      <c r="K286" s="55" t="n">
        <f aca="false">IF(ISNUMBER(K285),K285*1,K285)</f>
        <v>10164954812.5931</v>
      </c>
      <c r="L286" s="55" t="n">
        <f aca="false">IF(ISNUMBER(L285),L285*1,L285)</f>
        <v>23512335581.9128</v>
      </c>
      <c r="M286" s="55" t="n">
        <f aca="false">IF(ISNUMBER(M285),M285*1,M285)</f>
        <v>23512335581.9128</v>
      </c>
      <c r="N286" s="55" t="n">
        <f aca="false">IF(ISNUMBER(N285),N285*1,N285)</f>
        <v>23512335581.9128</v>
      </c>
      <c r="O286" s="55" t="n">
        <f aca="false">IF(ISNUMBER(O285),O285*1,O285)</f>
        <v>34656308563.632</v>
      </c>
      <c r="P286" s="55" t="n">
        <f aca="false">IF(ISNUMBER(P285),P285*1,P285)</f>
        <v>34656308563.632</v>
      </c>
      <c r="Q286" s="55" t="n">
        <f aca="false">IF(ISNUMBER(Q285),Q285*1,Q285)</f>
        <v>34656308563.632</v>
      </c>
      <c r="R28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6" s="42" t="str">
        <f aca="false">IF(R286="—","—",IF(R286="A","基準輸入",IF(R286="B","情境、相對比較、反轉門檻","探索")))</f>
        <v>情境、相對比較、反轉門檻</v>
      </c>
      <c r="T286" s="28" t="s">
        <v>2653</v>
      </c>
      <c r="U286" s="42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6" s="53" t="s">
        <v>2725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2735</v>
      </c>
    </row>
    <row r="289" customFormat="false" ht="15" hidden="false" customHeight="true" outlineLevel="0" collapsed="false">
      <c r="A289" s="43" t="s">
        <v>2736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3" t="s">
        <v>2737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3" t="s">
        <v>2738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3" t="s">
        <v>2739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3" t="s">
        <v>2740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3" t="s">
        <v>2741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3" t="s">
        <v>2742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3" t="s">
        <v>2743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3" t="s">
        <v>2744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3" t="s">
        <v>2745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3" t="s">
        <v>2746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3" t="s">
        <v>2747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3" t="s">
        <v>2748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3" t="s">
        <v>2749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3" t="s">
        <v>2750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3" t="s">
        <v>2751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3" t="s">
        <v>2752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3" t="s">
        <v>2753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3" t="s">
        <v>2754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3" t="s">
        <v>2755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3" t="s">
        <v>2756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3" t="s">
        <v>2757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1" t="s">
        <v>2758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2" t="s">
        <v>2759</v>
      </c>
      <c r="B313" s="28" t="s">
        <v>1814</v>
      </c>
      <c r="C313" s="44" t="n">
        <f aca="false">(DC_Cost!C24*Inputs!$D$37)/CTL_GW</f>
        <v>0.0535506735</v>
      </c>
      <c r="D313" s="44" t="n">
        <f aca="false">(DC_Cost!D24*Inputs!$E$37)/CTL_GW</f>
        <v>0.13755107</v>
      </c>
      <c r="E313" s="44" t="n">
        <f aca="false">(DC_Cost!E24*Inputs!$F$37)/CTL_GW</f>
        <v>0.341207434</v>
      </c>
      <c r="F313" s="44" t="n">
        <f aca="false">(DC_Cost!F24*Inputs!$D$37)/CTL_GW</f>
        <v>0.051598476</v>
      </c>
      <c r="G313" s="44" t="n">
        <f aca="false">(DC_Cost!G24*Inputs!$E$37)/CTL_GW</f>
        <v>0.12007587</v>
      </c>
      <c r="H313" s="44" t="n">
        <f aca="false">(DC_Cost!H24*Inputs!$F$37)/CTL_GW</f>
        <v>0.276502044</v>
      </c>
      <c r="I313" s="44" t="n">
        <f aca="false">(DC_Cost!I24*Inputs!$D$37)/CTL_GW</f>
        <v>0.071387256</v>
      </c>
      <c r="J313" s="44" t="n">
        <f aca="false">(DC_Cost!J24*Inputs!$E$37)/CTL_GW</f>
        <v>0.16118612</v>
      </c>
      <c r="K313" s="44" t="n">
        <f aca="false">(DC_Cost!K24*Inputs!$F$37)/CTL_GW</f>
        <v>0.392826064</v>
      </c>
      <c r="L313" s="44" t="n">
        <f aca="false">(DC_Cost!L24*Inputs!$D$37)/CTL_GW</f>
        <v>0.083183508</v>
      </c>
      <c r="M313" s="44" t="n">
        <f aca="false">(DC_Cost!M24*Inputs!$E$37)/CTL_GW</f>
        <v>0.18793176</v>
      </c>
      <c r="N313" s="44" t="n">
        <f aca="false">(DC_Cost!N24*Inputs!$F$37)/CTL_GW</f>
        <v>0.426375752</v>
      </c>
      <c r="O313" s="44" t="n">
        <f aca="false">(DC_Cost!O24*Inputs!$D$37)/CTL_GW</f>
        <v>0.089613945</v>
      </c>
      <c r="P313" s="44" t="n">
        <f aca="false">(DC_Cost!P24*Inputs!$E$37)/CTL_GW</f>
        <v>0.2504289</v>
      </c>
      <c r="Q313" s="44" t="n">
        <f aca="false">(DC_Cost!Q24*Inputs!$F$37)/CTL_GW</f>
        <v>0.65481558</v>
      </c>
      <c r="R313" s="177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2" t="str">
        <f aca="false">IF(R313="—","—",IF(R313="A","基準輸入",IF(R313="B","情境、相對比較、反轉門檻","探索")))</f>
        <v>情境、相對比較、反轉門檻</v>
      </c>
      <c r="T313" s="28" t="s">
        <v>620</v>
      </c>
      <c r="U313" s="42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3" t="s">
        <v>2760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2" t="s">
        <v>2761</v>
      </c>
      <c r="B314" s="28" t="s">
        <v>1814</v>
      </c>
      <c r="C314" s="44" t="n">
        <f aca="false">(DC_Cost!C24*Inputs!$D$38)/CTL_GW</f>
        <v>0.428405388</v>
      </c>
      <c r="D314" s="44" t="n">
        <f aca="false">(DC_Cost!D24*Inputs!$E$38)/CTL_GW</f>
        <v>0.82530642</v>
      </c>
      <c r="E314" s="44" t="n">
        <f aca="false">(DC_Cost!E24*Inputs!$F$38)/CTL_GW</f>
        <v>1.70603717</v>
      </c>
      <c r="F314" s="44" t="n">
        <f aca="false">(DC_Cost!F24*Inputs!$D$38)/CTL_GW</f>
        <v>0.412787808</v>
      </c>
      <c r="G314" s="44" t="n">
        <f aca="false">(DC_Cost!G24*Inputs!$E$38)/CTL_GW</f>
        <v>0.72045522</v>
      </c>
      <c r="H314" s="44" t="n">
        <f aca="false">(DC_Cost!H24*Inputs!$F$38)/CTL_GW</f>
        <v>1.38251022</v>
      </c>
      <c r="I314" s="44" t="n">
        <f aca="false">(DC_Cost!I24*Inputs!$D$38)/CTL_GW</f>
        <v>0.571098048</v>
      </c>
      <c r="J314" s="44" t="n">
        <f aca="false">(DC_Cost!J24*Inputs!$E$38)/CTL_GW</f>
        <v>0.96711672</v>
      </c>
      <c r="K314" s="44" t="n">
        <f aca="false">(DC_Cost!K24*Inputs!$F$38)/CTL_GW</f>
        <v>1.96413032</v>
      </c>
      <c r="L314" s="44" t="n">
        <f aca="false">(DC_Cost!L24*Inputs!$D$38)/CTL_GW</f>
        <v>0.665468064</v>
      </c>
      <c r="M314" s="44" t="n">
        <f aca="false">(DC_Cost!M24*Inputs!$E$38)/CTL_GW</f>
        <v>1.12759056</v>
      </c>
      <c r="N314" s="44" t="n">
        <f aca="false">(DC_Cost!N24*Inputs!$F$38)/CTL_GW</f>
        <v>2.13187876</v>
      </c>
      <c r="O314" s="44" t="n">
        <f aca="false">(DC_Cost!O24*Inputs!$D$38)/CTL_GW</f>
        <v>0.71691156</v>
      </c>
      <c r="P314" s="44" t="n">
        <f aca="false">(DC_Cost!P24*Inputs!$E$38)/CTL_GW</f>
        <v>1.5025734</v>
      </c>
      <c r="Q314" s="44" t="n">
        <f aca="false">(DC_Cost!Q24*Inputs!$F$38)/CTL_GW</f>
        <v>3.2740779</v>
      </c>
      <c r="R314" s="177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2" t="str">
        <f aca="false">IF(R314="—","—",IF(R314="A","基準輸入",IF(R314="B","情境、相對比較、反轉門檻","探索")))</f>
        <v>情境、相對比較、反轉門檻</v>
      </c>
      <c r="T314" s="28" t="s">
        <v>620</v>
      </c>
      <c r="U314" s="42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3" t="s">
        <v>2760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2762</v>
      </c>
      <c r="B315" s="42" t="s">
        <v>134</v>
      </c>
      <c r="C315" s="31" t="n">
        <f aca="false">Inputs!E36</f>
        <v>3</v>
      </c>
      <c r="R315" s="177" t="str">
        <f aca="false">IF(SUM(Gov_Map!$AG$605)&gt;0,"C",IF(SUM(Gov_Map!$AH$605)&gt;0,"B","A"))</f>
        <v>A</v>
      </c>
      <c r="S315" s="42" t="str">
        <f aca="false">IF(R315="—","—",IF(R315="A","基準輸入",IF(R315="B","情境、相對比較、反轉門檻","探索")))</f>
        <v>基準輸入</v>
      </c>
      <c r="T315" s="28" t="s">
        <v>620</v>
      </c>
      <c r="U315" s="42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3" t="s">
        <v>2492</v>
      </c>
      <c r="X315" s="30" t="n">
        <f aca="false">IF(ISNUMBER(FIND("上限",S315)),1,0)</f>
        <v>0</v>
      </c>
      <c r="Y315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7" t="s">
        <v>2763</v>
      </c>
    </row>
    <row r="2" customFormat="false" ht="15" hidden="false" customHeight="false" outlineLevel="0" collapsed="false">
      <c r="A2" s="73" t="s">
        <v>2764</v>
      </c>
    </row>
    <row r="4" customFormat="false" ht="29.85" hidden="false" customHeight="false" outlineLevel="0" collapsed="false">
      <c r="A4" s="84" t="s">
        <v>2765</v>
      </c>
      <c r="B4" s="83" t="s">
        <v>2766</v>
      </c>
      <c r="C4" s="83" t="s">
        <v>2767</v>
      </c>
      <c r="D4" s="83" t="s">
        <v>2768</v>
      </c>
      <c r="E4" s="83" t="s">
        <v>1150</v>
      </c>
      <c r="F4" s="83" t="s">
        <v>1151</v>
      </c>
      <c r="G4" s="83" t="s">
        <v>83</v>
      </c>
      <c r="H4" s="83" t="s">
        <v>2769</v>
      </c>
      <c r="I4" s="83" t="s">
        <v>2770</v>
      </c>
      <c r="J4" s="83" t="s">
        <v>2771</v>
      </c>
      <c r="K4" s="83" t="s">
        <v>2772</v>
      </c>
      <c r="L4" s="83" t="s">
        <v>2773</v>
      </c>
      <c r="M4" s="83" t="s">
        <v>2774</v>
      </c>
      <c r="N4" s="83" t="s">
        <v>2775</v>
      </c>
      <c r="O4" s="83" t="s">
        <v>2776</v>
      </c>
      <c r="P4" s="83" t="s">
        <v>541</v>
      </c>
      <c r="Q4" s="83" t="s">
        <v>38</v>
      </c>
      <c r="R4" s="83" t="s">
        <v>2777</v>
      </c>
      <c r="S4" s="83" t="s">
        <v>2778</v>
      </c>
    </row>
    <row r="5" customFormat="false" ht="29.85" hidden="false" customHeight="false" outlineLevel="0" collapsed="false">
      <c r="A5" s="61" t="s">
        <v>2779</v>
      </c>
      <c r="B5" s="5" t="s">
        <v>2780</v>
      </c>
      <c r="C5" s="5" t="s">
        <v>2781</v>
      </c>
      <c r="D5" s="125" t="n">
        <f aca="false">INDEX(IF_CapexTotal,1,2)</f>
        <v>40.180214</v>
      </c>
      <c r="E5" s="115" t="n">
        <f aca="false">INDEX(IF_CapexTotal,1,1)</f>
        <v>31.6322694</v>
      </c>
      <c r="F5" s="115" t="n">
        <f aca="false">INDEX(IF_CapexTotal,1,3)</f>
        <v>50.3067434</v>
      </c>
      <c r="G5" s="61" t="s">
        <v>2782</v>
      </c>
      <c r="H5" s="5" t="s">
        <v>2783</v>
      </c>
      <c r="I5" s="6" t="s">
        <v>2784</v>
      </c>
      <c r="J5" s="5" t="s">
        <v>2785</v>
      </c>
      <c r="K5" s="5" t="s">
        <v>2786</v>
      </c>
      <c r="L5" s="61" t="s">
        <v>620</v>
      </c>
      <c r="M5" s="115" t="s">
        <v>620</v>
      </c>
      <c r="N5" s="115" t="s">
        <v>620</v>
      </c>
      <c r="O5" s="76" t="str">
        <f aca="false">IF(AND(ISNUMBER(D5),ISNUMBER(M5),ISNUMBER(N5)),D5/((M5+N5)/2),"—")</f>
        <v>—</v>
      </c>
      <c r="P5" s="60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61" t="s">
        <v>2779</v>
      </c>
      <c r="R5" s="61" t="s">
        <v>2787</v>
      </c>
      <c r="S5" s="6" t="s">
        <v>620</v>
      </c>
    </row>
    <row r="6" customFormat="false" ht="29.85" hidden="false" customHeight="false" outlineLevel="0" collapsed="false">
      <c r="A6" s="61" t="s">
        <v>2788</v>
      </c>
      <c r="B6" s="5" t="s">
        <v>2789</v>
      </c>
      <c r="C6" s="5" t="s">
        <v>2781</v>
      </c>
      <c r="D6" s="125" t="n">
        <f aca="false">INDEX(IF_CapexTotal,1,5)</f>
        <v>36.685174</v>
      </c>
      <c r="E6" s="115" t="n">
        <f aca="false">INDEX(IF_CapexTotal,1,4)</f>
        <v>30.8513904</v>
      </c>
      <c r="F6" s="115" t="n">
        <f aca="false">INDEX(IF_CapexTotal,1,6)</f>
        <v>43.8362044</v>
      </c>
      <c r="G6" s="61" t="s">
        <v>2782</v>
      </c>
      <c r="H6" s="5" t="s">
        <v>2783</v>
      </c>
      <c r="I6" s="6" t="s">
        <v>2784</v>
      </c>
      <c r="J6" s="5" t="s">
        <v>2785</v>
      </c>
      <c r="K6" s="5" t="s">
        <v>2786</v>
      </c>
      <c r="L6" s="61" t="s">
        <v>620</v>
      </c>
      <c r="M6" s="115" t="s">
        <v>620</v>
      </c>
      <c r="N6" s="115" t="s">
        <v>620</v>
      </c>
      <c r="O6" s="76" t="str">
        <f aca="false">IF(AND(ISNUMBER(D6),ISNUMBER(M6),ISNUMBER(N6)),D6/((M6+N6)/2),"—")</f>
        <v>—</v>
      </c>
      <c r="P6" s="60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61" t="s">
        <v>2788</v>
      </c>
      <c r="R6" s="61" t="s">
        <v>2787</v>
      </c>
      <c r="S6" s="6" t="s">
        <v>620</v>
      </c>
    </row>
    <row r="7" customFormat="false" ht="29.85" hidden="false" customHeight="false" outlineLevel="0" collapsed="false">
      <c r="A7" s="61" t="s">
        <v>2790</v>
      </c>
      <c r="B7" s="5" t="s">
        <v>2791</v>
      </c>
      <c r="C7" s="5" t="s">
        <v>2781</v>
      </c>
      <c r="D7" s="125" t="n">
        <f aca="false">INDEX(IF_CapexTotal,1,8)</f>
        <v>44.907224</v>
      </c>
      <c r="E7" s="115" t="n">
        <f aca="false">INDEX(IF_CapexTotal,1,7)</f>
        <v>38.7669024</v>
      </c>
      <c r="F7" s="115" t="n">
        <f aca="false">INDEX(IF_CapexTotal,1,9)</f>
        <v>55.4686064</v>
      </c>
      <c r="G7" s="61" t="s">
        <v>2782</v>
      </c>
      <c r="H7" s="5" t="s">
        <v>2783</v>
      </c>
      <c r="I7" s="6" t="s">
        <v>2784</v>
      </c>
      <c r="J7" s="5" t="s">
        <v>2785</v>
      </c>
      <c r="K7" s="5" t="s">
        <v>2786</v>
      </c>
      <c r="L7" s="61" t="s">
        <v>620</v>
      </c>
      <c r="M7" s="115" t="s">
        <v>620</v>
      </c>
      <c r="N7" s="115" t="s">
        <v>620</v>
      </c>
      <c r="O7" s="76" t="str">
        <f aca="false">IF(AND(ISNUMBER(D7),ISNUMBER(M7),ISNUMBER(N7)),D7/((M7+N7)/2),"—")</f>
        <v>—</v>
      </c>
      <c r="P7" s="60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61" t="s">
        <v>2790</v>
      </c>
      <c r="R7" s="61" t="s">
        <v>2787</v>
      </c>
      <c r="S7" s="6" t="s">
        <v>620</v>
      </c>
    </row>
    <row r="8" customFormat="false" ht="29.85" hidden="false" customHeight="false" outlineLevel="0" collapsed="false">
      <c r="A8" s="61" t="s">
        <v>2792</v>
      </c>
      <c r="B8" s="5" t="s">
        <v>2793</v>
      </c>
      <c r="C8" s="5" t="s">
        <v>2781</v>
      </c>
      <c r="D8" s="125" t="n">
        <f aca="false">INDEX(IF_CapexTotal,1,11)</f>
        <v>50.256352</v>
      </c>
      <c r="E8" s="115" t="n">
        <f aca="false">INDEX(IF_CapexTotal,1,10)</f>
        <v>43.4854032</v>
      </c>
      <c r="F8" s="115" t="n">
        <f aca="false">INDEX(IF_CapexTotal,1,12)</f>
        <v>58.8235752</v>
      </c>
      <c r="G8" s="61" t="s">
        <v>2782</v>
      </c>
      <c r="H8" s="5" t="s">
        <v>2783</v>
      </c>
      <c r="I8" s="6" t="s">
        <v>2784</v>
      </c>
      <c r="J8" s="5" t="s">
        <v>2785</v>
      </c>
      <c r="K8" s="5" t="s">
        <v>2786</v>
      </c>
      <c r="L8" s="61" t="s">
        <v>2794</v>
      </c>
      <c r="M8" s="94" t="n">
        <f aca="false">SRC_DC_010_Lo</f>
        <v>50</v>
      </c>
      <c r="N8" s="94" t="n">
        <f aca="false">SRC_DC_010_Hi</f>
        <v>60</v>
      </c>
      <c r="O8" s="76" t="n">
        <f aca="false">IF(AND(ISNUMBER(D8),ISNUMBER(M8),ISNUMBER(N8)),D8/((M8+N8)/2),"—")</f>
        <v>0.913751854545455</v>
      </c>
      <c r="P8" s="60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61" t="s">
        <v>2792</v>
      </c>
      <c r="R8" s="61" t="s">
        <v>2787</v>
      </c>
      <c r="S8" s="5" t="s">
        <v>2795</v>
      </c>
    </row>
    <row r="9" customFormat="false" ht="29.85" hidden="false" customHeight="false" outlineLevel="0" collapsed="false">
      <c r="A9" s="61" t="s">
        <v>2796</v>
      </c>
      <c r="B9" s="5" t="s">
        <v>2797</v>
      </c>
      <c r="C9" s="5" t="s">
        <v>2798</v>
      </c>
      <c r="D9" s="116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1" t="s">
        <v>2782</v>
      </c>
      <c r="H9" s="5" t="s">
        <v>2783</v>
      </c>
      <c r="I9" s="5" t="s">
        <v>2799</v>
      </c>
      <c r="J9" s="5" t="s">
        <v>2800</v>
      </c>
      <c r="K9" s="5" t="s">
        <v>2786</v>
      </c>
      <c r="L9" s="61" t="s">
        <v>2801</v>
      </c>
      <c r="M9" s="94" t="n">
        <f aca="false">SRC_DC_011</f>
        <v>35</v>
      </c>
      <c r="N9" s="94" t="n">
        <f aca="false">SRC_DC_011</f>
        <v>35</v>
      </c>
      <c r="O9" s="76" t="n">
        <f aca="false">IF(AND(ISNUMBER(D9),ISNUMBER(M9),ISNUMBER(N9)),D9/((M9+N9)/2),"—")</f>
        <v>0.97248</v>
      </c>
      <c r="P9" s="60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61" t="s">
        <v>2796</v>
      </c>
      <c r="R9" s="61" t="s">
        <v>2802</v>
      </c>
      <c r="S9" s="5" t="s">
        <v>2803</v>
      </c>
    </row>
    <row r="10" customFormat="false" ht="44" hidden="false" customHeight="false" outlineLevel="0" collapsed="false">
      <c r="A10" s="61" t="s">
        <v>2804</v>
      </c>
      <c r="B10" s="5" t="s">
        <v>2805</v>
      </c>
      <c r="C10" s="5" t="s">
        <v>2806</v>
      </c>
      <c r="D10" s="116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1" t="s">
        <v>120</v>
      </c>
      <c r="H10" s="5" t="s">
        <v>2783</v>
      </c>
      <c r="I10" s="5" t="s">
        <v>2807</v>
      </c>
      <c r="J10" s="5" t="s">
        <v>2808</v>
      </c>
      <c r="K10" s="5" t="s">
        <v>2809</v>
      </c>
      <c r="L10" s="61" t="s">
        <v>2810</v>
      </c>
      <c r="M10" s="94" t="n">
        <f aca="false">SRC_DC_003*(1+SRC_DC_004_Lo)</f>
        <v>12.091</v>
      </c>
      <c r="N10" s="94" t="n">
        <f aca="false">SRC_DC_003*(1+SRC_DC_004_Hi)</f>
        <v>12.43</v>
      </c>
      <c r="O10" s="76" t="n">
        <f aca="false">IF(AND(ISNUMBER(D10),ISNUMBER(M10),ISNUMBER(N10)),D10/((M10+N10)/2),"—")</f>
        <v>1.03339994290608</v>
      </c>
      <c r="P10" s="60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61" t="s">
        <v>2804</v>
      </c>
      <c r="R10" s="61" t="s">
        <v>2811</v>
      </c>
      <c r="S10" s="5" t="s">
        <v>2812</v>
      </c>
    </row>
    <row r="11" customFormat="false" ht="29.85" hidden="false" customHeight="false" outlineLevel="0" collapsed="false">
      <c r="A11" s="61" t="s">
        <v>2813</v>
      </c>
      <c r="B11" s="5" t="s">
        <v>2814</v>
      </c>
      <c r="C11" s="5" t="s">
        <v>2815</v>
      </c>
      <c r="D11" s="125" t="n">
        <f aca="false">INDEX(IF_HoldEcon,1,2)</f>
        <v>9.70308728611469</v>
      </c>
      <c r="E11" s="115" t="n">
        <f aca="false">INDEX(IF_HoldEcon,1,1)</f>
        <v>6.79107465326444</v>
      </c>
      <c r="F11" s="115" t="n">
        <f aca="false">INDEX(IF_HoldEcon,1,3)</f>
        <v>16.6637697337026</v>
      </c>
      <c r="G11" s="61" t="s">
        <v>1560</v>
      </c>
      <c r="H11" s="5" t="s">
        <v>2783</v>
      </c>
      <c r="I11" s="5" t="s">
        <v>2816</v>
      </c>
      <c r="J11" s="6" t="s">
        <v>2817</v>
      </c>
      <c r="K11" s="5" t="s">
        <v>2818</v>
      </c>
      <c r="L11" s="61" t="s">
        <v>620</v>
      </c>
      <c r="M11" s="115" t="s">
        <v>620</v>
      </c>
      <c r="N11" s="115" t="s">
        <v>620</v>
      </c>
      <c r="O11" s="76" t="str">
        <f aca="false">IF(AND(ISNUMBER(D11),ISNUMBER(M11),ISNUMBER(N11)),D11/((M11+N11)/2),"—")</f>
        <v>—</v>
      </c>
      <c r="P11" s="60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61" t="s">
        <v>2813</v>
      </c>
      <c r="R11" s="61" t="s">
        <v>2819</v>
      </c>
      <c r="S11" s="6" t="s">
        <v>620</v>
      </c>
    </row>
    <row r="12" customFormat="false" ht="29.85" hidden="false" customHeight="false" outlineLevel="0" collapsed="false">
      <c r="A12" s="61" t="s">
        <v>2820</v>
      </c>
      <c r="B12" s="5" t="s">
        <v>2821</v>
      </c>
      <c r="C12" s="5" t="s">
        <v>2815</v>
      </c>
      <c r="D12" s="125" t="n">
        <f aca="false">INDEX(IF_HoldEcon,1,5)</f>
        <v>8.82816556596761</v>
      </c>
      <c r="E12" s="115" t="n">
        <f aca="false">INDEX(IF_HoldEcon,1,4)</f>
        <v>6.6118162762144</v>
      </c>
      <c r="F12" s="115" t="n">
        <f aca="false">INDEX(IF_HoldEcon,1,6)</f>
        <v>14.3185748619737</v>
      </c>
      <c r="G12" s="61" t="s">
        <v>1560</v>
      </c>
      <c r="H12" s="5" t="s">
        <v>2783</v>
      </c>
      <c r="I12" s="5" t="s">
        <v>2816</v>
      </c>
      <c r="J12" s="6" t="s">
        <v>2817</v>
      </c>
      <c r="K12" s="5" t="s">
        <v>2818</v>
      </c>
      <c r="L12" s="61" t="s">
        <v>620</v>
      </c>
      <c r="M12" s="115" t="s">
        <v>620</v>
      </c>
      <c r="N12" s="115" t="s">
        <v>620</v>
      </c>
      <c r="O12" s="76" t="str">
        <f aca="false">IF(AND(ISNUMBER(D12),ISNUMBER(M12),ISNUMBER(N12)),D12/((M12+N12)/2),"—")</f>
        <v>—</v>
      </c>
      <c r="P12" s="60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61" t="s">
        <v>2820</v>
      </c>
      <c r="R12" s="61" t="s">
        <v>2819</v>
      </c>
      <c r="S12" s="6" t="s">
        <v>620</v>
      </c>
    </row>
    <row r="13" customFormat="false" ht="29.85" hidden="false" customHeight="false" outlineLevel="0" collapsed="false">
      <c r="A13" s="61" t="s">
        <v>2822</v>
      </c>
      <c r="B13" s="5" t="s">
        <v>2823</v>
      </c>
      <c r="C13" s="5" t="s">
        <v>2815</v>
      </c>
      <c r="D13" s="125" t="n">
        <f aca="false">INDEX(IF_HoldEcon,1,8)</f>
        <v>10.8864110021101</v>
      </c>
      <c r="E13" s="115" t="n">
        <f aca="false">INDEX(IF_HoldEcon,1,7)</f>
        <v>8.42889912085495</v>
      </c>
      <c r="F13" s="115" t="n">
        <f aca="false">INDEX(IF_HoldEcon,1,9)</f>
        <v>18.5346455040469</v>
      </c>
      <c r="G13" s="61" t="s">
        <v>1560</v>
      </c>
      <c r="H13" s="5" t="s">
        <v>2783</v>
      </c>
      <c r="I13" s="5" t="s">
        <v>2816</v>
      </c>
      <c r="J13" s="6" t="s">
        <v>2817</v>
      </c>
      <c r="K13" s="5" t="s">
        <v>2818</v>
      </c>
      <c r="L13" s="61" t="s">
        <v>620</v>
      </c>
      <c r="M13" s="115" t="s">
        <v>620</v>
      </c>
      <c r="N13" s="115" t="s">
        <v>620</v>
      </c>
      <c r="O13" s="76" t="str">
        <f aca="false">IF(AND(ISNUMBER(D13),ISNUMBER(M13),ISNUMBER(N13)),D13/((M13+N13)/2),"—")</f>
        <v>—</v>
      </c>
      <c r="P13" s="60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61" t="s">
        <v>2822</v>
      </c>
      <c r="R13" s="61" t="s">
        <v>2819</v>
      </c>
      <c r="S13" s="6" t="s">
        <v>620</v>
      </c>
    </row>
    <row r="14" customFormat="false" ht="29.85" hidden="false" customHeight="false" outlineLevel="0" collapsed="false">
      <c r="A14" s="61" t="s">
        <v>2824</v>
      </c>
      <c r="B14" s="5" t="s">
        <v>2825</v>
      </c>
      <c r="C14" s="5" t="s">
        <v>2815</v>
      </c>
      <c r="D14" s="125" t="n">
        <f aca="false">INDEX(IF_HoldEcon,1,11)</f>
        <v>12.2254710045841</v>
      </c>
      <c r="E14" s="115" t="n">
        <f aca="false">INDEX(IF_HoldEcon,1,10)</f>
        <v>9.51207691858967</v>
      </c>
      <c r="F14" s="115" t="n">
        <f aca="false">INDEX(IF_HoldEcon,1,12)</f>
        <v>19.7506269894487</v>
      </c>
      <c r="G14" s="61" t="s">
        <v>1560</v>
      </c>
      <c r="H14" s="5" t="s">
        <v>2783</v>
      </c>
      <c r="I14" s="5" t="s">
        <v>2816</v>
      </c>
      <c r="J14" s="6" t="s">
        <v>2817</v>
      </c>
      <c r="K14" s="5" t="s">
        <v>2818</v>
      </c>
      <c r="L14" s="61" t="s">
        <v>620</v>
      </c>
      <c r="M14" s="115" t="s">
        <v>620</v>
      </c>
      <c r="N14" s="115" t="s">
        <v>620</v>
      </c>
      <c r="O14" s="76" t="str">
        <f aca="false">IF(AND(ISNUMBER(D14),ISNUMBER(M14),ISNUMBER(N14)),D14/((M14+N14)/2),"—")</f>
        <v>—</v>
      </c>
      <c r="P14" s="60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61" t="s">
        <v>2824</v>
      </c>
      <c r="R14" s="61" t="s">
        <v>2819</v>
      </c>
      <c r="S14" s="6" t="s">
        <v>620</v>
      </c>
    </row>
    <row r="15" customFormat="false" ht="29.85" hidden="false" customHeight="false" outlineLevel="0" collapsed="false">
      <c r="A15" s="61" t="s">
        <v>2826</v>
      </c>
      <c r="B15" s="5" t="s">
        <v>2827</v>
      </c>
      <c r="C15" s="6" t="s">
        <v>2828</v>
      </c>
      <c r="D15" s="125" t="n">
        <f aca="false">INDEX(IF_GPUhrEcon,1,2)</f>
        <v>1.54259654785589</v>
      </c>
      <c r="E15" s="115" t="n">
        <f aca="false">INDEX(IF_GPUhrEcon,1,1)</f>
        <v>1.07964486018265</v>
      </c>
      <c r="F15" s="115" t="n">
        <f aca="false">INDEX(IF_GPUhrEcon,1,3)</f>
        <v>2.64920565047995</v>
      </c>
      <c r="G15" s="61" t="s">
        <v>852</v>
      </c>
      <c r="H15" s="5" t="s">
        <v>2783</v>
      </c>
      <c r="I15" s="5" t="s">
        <v>2829</v>
      </c>
      <c r="J15" s="5" t="s">
        <v>2830</v>
      </c>
      <c r="K15" s="5" t="s">
        <v>2818</v>
      </c>
      <c r="L15" s="61" t="s">
        <v>620</v>
      </c>
      <c r="M15" s="115" t="s">
        <v>620</v>
      </c>
      <c r="N15" s="115" t="s">
        <v>620</v>
      </c>
      <c r="O15" s="76" t="str">
        <f aca="false">IF(AND(ISNUMBER(D15),ISNUMBER(M15),ISNUMBER(N15)),D15/((M15+N15)/2),"—")</f>
        <v>—</v>
      </c>
      <c r="P15" s="60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61" t="s">
        <v>2826</v>
      </c>
      <c r="R15" s="61" t="s">
        <v>2831</v>
      </c>
      <c r="S15" s="6" t="s">
        <v>620</v>
      </c>
    </row>
    <row r="16" customFormat="false" ht="44" hidden="false" customHeight="false" outlineLevel="0" collapsed="false">
      <c r="A16" s="61" t="s">
        <v>2832</v>
      </c>
      <c r="B16" s="5" t="s">
        <v>2833</v>
      </c>
      <c r="C16" s="6" t="s">
        <v>2828</v>
      </c>
      <c r="D16" s="125" t="n">
        <f aca="false">INDEX(IF_GPUhrEcon,1,5)</f>
        <v>2.00846099652078</v>
      </c>
      <c r="E16" s="115" t="n">
        <f aca="false">INDEX(IF_GPUhrEcon,1,4)</f>
        <v>1.50422814430785</v>
      </c>
      <c r="F16" s="115" t="n">
        <f aca="false">INDEX(IF_GPUhrEcon,1,6)</f>
        <v>3.25756227849869</v>
      </c>
      <c r="G16" s="61" t="s">
        <v>852</v>
      </c>
      <c r="H16" s="5" t="s">
        <v>2783</v>
      </c>
      <c r="I16" s="5" t="s">
        <v>2829</v>
      </c>
      <c r="J16" s="5" t="s">
        <v>2830</v>
      </c>
      <c r="K16" s="5" t="s">
        <v>2818</v>
      </c>
      <c r="L16" s="61" t="s">
        <v>2834</v>
      </c>
      <c r="M16" s="94" t="n">
        <f aca="false">SRC_DC_012</f>
        <v>2.21</v>
      </c>
      <c r="N16" s="94" t="n">
        <f aca="false">SRC_DC_012</f>
        <v>2.21</v>
      </c>
      <c r="O16" s="76" t="n">
        <f aca="false">IF(AND(ISNUMBER(D16),ISNUMBER(M16),ISNUMBER(N16)),D16/((M16+N16)/2),"—")</f>
        <v>0.908805880778634</v>
      </c>
      <c r="P16" s="60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61" t="s">
        <v>2832</v>
      </c>
      <c r="R16" s="61" t="s">
        <v>2831</v>
      </c>
      <c r="S16" s="5" t="s">
        <v>2835</v>
      </c>
    </row>
    <row r="17" customFormat="false" ht="44" hidden="false" customHeight="false" outlineLevel="0" collapsed="false">
      <c r="A17" s="61" t="s">
        <v>2836</v>
      </c>
      <c r="B17" s="5" t="s">
        <v>2837</v>
      </c>
      <c r="C17" s="6" t="s">
        <v>2828</v>
      </c>
      <c r="D17" s="125" t="n">
        <f aca="false">INDEX(IF_GPUhrEcon,1,8)</f>
        <v>2.55178761329595</v>
      </c>
      <c r="E17" s="115" t="n">
        <f aca="false">INDEX(IF_GPUhrEcon,1,7)</f>
        <v>1.97574392204647</v>
      </c>
      <c r="F17" s="115" t="n">
        <f aca="false">INDEX(IF_GPUhrEcon,1,9)</f>
        <v>4.34454282544458</v>
      </c>
      <c r="G17" s="61" t="s">
        <v>852</v>
      </c>
      <c r="H17" s="5" t="s">
        <v>2783</v>
      </c>
      <c r="I17" s="5" t="s">
        <v>2829</v>
      </c>
      <c r="J17" s="5" t="s">
        <v>2830</v>
      </c>
      <c r="K17" s="5" t="s">
        <v>2818</v>
      </c>
      <c r="L17" s="61" t="s">
        <v>2838</v>
      </c>
      <c r="M17" s="94" t="n">
        <f aca="false">SRC_DC_013</f>
        <v>2.65</v>
      </c>
      <c r="N17" s="94" t="n">
        <f aca="false">SRC_DC_013</f>
        <v>2.65</v>
      </c>
      <c r="O17" s="76" t="n">
        <f aca="false">IF(AND(ISNUMBER(D17),ISNUMBER(M17),ISNUMBER(N17)),D17/((M17+N17)/2),"—")</f>
        <v>0.962938721998472</v>
      </c>
      <c r="P17" s="60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61" t="s">
        <v>2836</v>
      </c>
      <c r="R17" s="61" t="s">
        <v>2831</v>
      </c>
      <c r="S17" s="5" t="s">
        <v>2835</v>
      </c>
    </row>
    <row r="18" customFormat="false" ht="29.85" hidden="false" customHeight="false" outlineLevel="0" collapsed="false">
      <c r="A18" s="61" t="s">
        <v>2839</v>
      </c>
      <c r="B18" s="5" t="s">
        <v>2840</v>
      </c>
      <c r="C18" s="6" t="s">
        <v>2828</v>
      </c>
      <c r="D18" s="125" t="n">
        <f aca="false">INDEX(IF_GPUhrEcon,1,11)</f>
        <v>4.78365180724219</v>
      </c>
      <c r="E18" s="115" t="n">
        <f aca="false">INDEX(IF_GPUhrEcon,1,10)</f>
        <v>3.72193954123947</v>
      </c>
      <c r="F18" s="115" t="n">
        <f aca="false">INDEX(IF_GPUhrEcon,1,12)</f>
        <v>7.72813762813851</v>
      </c>
      <c r="G18" s="61" t="s">
        <v>852</v>
      </c>
      <c r="H18" s="5" t="s">
        <v>2783</v>
      </c>
      <c r="I18" s="5" t="s">
        <v>2829</v>
      </c>
      <c r="J18" s="5" t="s">
        <v>2830</v>
      </c>
      <c r="K18" s="5" t="s">
        <v>2818</v>
      </c>
      <c r="L18" s="61" t="s">
        <v>620</v>
      </c>
      <c r="M18" s="115" t="s">
        <v>620</v>
      </c>
      <c r="N18" s="115" t="s">
        <v>620</v>
      </c>
      <c r="O18" s="76" t="str">
        <f aca="false">IF(AND(ISNUMBER(D18),ISNUMBER(M18),ISNUMBER(N18)),D18/((M18+N18)/2),"—")</f>
        <v>—</v>
      </c>
      <c r="P18" s="60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61" t="s">
        <v>2839</v>
      </c>
      <c r="R18" s="61" t="s">
        <v>2831</v>
      </c>
      <c r="S18" s="6" t="s">
        <v>620</v>
      </c>
    </row>
    <row r="19" customFormat="false" ht="44" hidden="false" customHeight="false" outlineLevel="0" collapsed="false">
      <c r="A19" s="61" t="s">
        <v>2841</v>
      </c>
      <c r="B19" s="6" t="s">
        <v>2842</v>
      </c>
      <c r="C19" s="5" t="s">
        <v>2843</v>
      </c>
      <c r="D19" s="125" t="n">
        <f aca="false">INDEX(IF_CostDec_Luna,1,11)</f>
        <v>0.103646620561882</v>
      </c>
      <c r="E19" s="115" t="n">
        <f aca="false">INDEX(IF_CostDec_Luna,1,10)</f>
        <v>0.0806426702715034</v>
      </c>
      <c r="F19" s="115" t="n">
        <f aca="false">INDEX(IF_CostDec_Luna,1,12)</f>
        <v>0.167444325103472</v>
      </c>
      <c r="G19" s="61" t="s">
        <v>807</v>
      </c>
      <c r="H19" s="5" t="s">
        <v>2783</v>
      </c>
      <c r="I19" s="5" t="s">
        <v>2844</v>
      </c>
      <c r="J19" s="6" t="s">
        <v>2845</v>
      </c>
      <c r="K19" s="5" t="s">
        <v>2846</v>
      </c>
      <c r="L19" s="61" t="s">
        <v>620</v>
      </c>
      <c r="M19" s="115" t="s">
        <v>620</v>
      </c>
      <c r="N19" s="115" t="s">
        <v>620</v>
      </c>
      <c r="O19" s="76" t="str">
        <f aca="false">IF(AND(ISNUMBER(D19),ISNUMBER(M19),ISNUMBER(N19)),D19/((M19+N19)/2),"—")</f>
        <v>—</v>
      </c>
      <c r="P19" s="60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61" t="s">
        <v>2841</v>
      </c>
      <c r="R19" s="61" t="s">
        <v>2847</v>
      </c>
      <c r="S19" s="6" t="s">
        <v>2848</v>
      </c>
    </row>
    <row r="20" customFormat="false" ht="44" hidden="false" customHeight="false" outlineLevel="0" collapsed="false">
      <c r="A20" s="61" t="s">
        <v>2849</v>
      </c>
      <c r="B20" s="6" t="s">
        <v>2850</v>
      </c>
      <c r="C20" s="5" t="s">
        <v>2843</v>
      </c>
      <c r="D20" s="125" t="n">
        <f aca="false">INDEX(IF_CostDec_Luna,1,8)</f>
        <v>0.137536094679954</v>
      </c>
      <c r="E20" s="115" t="n">
        <f aca="false">INDEX(IF_CostDec_Luna,1,7)</f>
        <v>0.106488526596046</v>
      </c>
      <c r="F20" s="115" t="n">
        <f aca="false">INDEX(IF_CostDec_Luna,1,9)</f>
        <v>0.234161906840545</v>
      </c>
      <c r="G20" s="61" t="s">
        <v>807</v>
      </c>
      <c r="H20" s="5" t="s">
        <v>2783</v>
      </c>
      <c r="I20" s="5" t="s">
        <v>2844</v>
      </c>
      <c r="J20" s="6" t="s">
        <v>2845</v>
      </c>
      <c r="K20" s="5" t="s">
        <v>2846</v>
      </c>
      <c r="L20" s="61" t="s">
        <v>620</v>
      </c>
      <c r="M20" s="115" t="s">
        <v>620</v>
      </c>
      <c r="N20" s="115" t="s">
        <v>620</v>
      </c>
      <c r="O20" s="76" t="str">
        <f aca="false">IF(AND(ISNUMBER(D20),ISNUMBER(M20),ISNUMBER(N20)),D20/((M20+N20)/2),"—")</f>
        <v>—</v>
      </c>
      <c r="P20" s="60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61" t="s">
        <v>2849</v>
      </c>
      <c r="R20" s="61" t="s">
        <v>2847</v>
      </c>
      <c r="S20" s="6" t="s">
        <v>620</v>
      </c>
    </row>
    <row r="21" customFormat="false" ht="44" hidden="false" customHeight="false" outlineLevel="0" collapsed="false">
      <c r="A21" s="61" t="s">
        <v>2851</v>
      </c>
      <c r="B21" s="6" t="s">
        <v>2852</v>
      </c>
      <c r="C21" s="5" t="s">
        <v>2843</v>
      </c>
      <c r="D21" s="125" t="n">
        <f aca="false">INDEX(IF_CostDec_Sol,1,11)</f>
        <v>0.329255999075451</v>
      </c>
      <c r="E21" s="115" t="n">
        <f aca="false">INDEX(IF_CostDec_Sol,1,10)</f>
        <v>0.256178955227036</v>
      </c>
      <c r="F21" s="115" t="n">
        <f aca="false">INDEX(IF_CostDec_Sol,1,12)</f>
        <v>0.531923262452556</v>
      </c>
      <c r="G21" s="61" t="s">
        <v>807</v>
      </c>
      <c r="H21" s="5" t="s">
        <v>2783</v>
      </c>
      <c r="I21" s="5" t="s">
        <v>2844</v>
      </c>
      <c r="J21" s="6" t="s">
        <v>2845</v>
      </c>
      <c r="K21" s="5" t="s">
        <v>2846</v>
      </c>
      <c r="L21" s="61" t="s">
        <v>620</v>
      </c>
      <c r="M21" s="115" t="s">
        <v>620</v>
      </c>
      <c r="N21" s="115" t="s">
        <v>620</v>
      </c>
      <c r="O21" s="76" t="str">
        <f aca="false">IF(AND(ISNUMBER(D21),ISNUMBER(M21),ISNUMBER(N21)),D21/((M21+N21)/2),"—")</f>
        <v>—</v>
      </c>
      <c r="P21" s="60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61" t="s">
        <v>2851</v>
      </c>
      <c r="R21" s="61" t="s">
        <v>2847</v>
      </c>
      <c r="S21" s="6" t="s">
        <v>2848</v>
      </c>
    </row>
    <row r="22" customFormat="false" ht="44" hidden="false" customHeight="false" outlineLevel="0" collapsed="false">
      <c r="A22" s="61" t="s">
        <v>2853</v>
      </c>
      <c r="B22" s="6" t="s">
        <v>2854</v>
      </c>
      <c r="C22" s="5" t="s">
        <v>2843</v>
      </c>
      <c r="D22" s="125" t="n">
        <f aca="false">INDEX(IF_CostDec_Sol,1,8)</f>
        <v>0.478981262565029</v>
      </c>
      <c r="E22" s="115" t="n">
        <f aca="false">INDEX(IF_CostDec_Sol,1,7)</f>
        <v>0.37085544006724</v>
      </c>
      <c r="F22" s="115" t="n">
        <f aca="false">INDEX(IF_CostDec_Sol,1,9)</f>
        <v>0.815488952511794</v>
      </c>
      <c r="G22" s="61" t="s">
        <v>807</v>
      </c>
      <c r="H22" s="5" t="s">
        <v>2783</v>
      </c>
      <c r="I22" s="5" t="s">
        <v>2844</v>
      </c>
      <c r="J22" s="6" t="s">
        <v>2845</v>
      </c>
      <c r="K22" s="5" t="s">
        <v>2846</v>
      </c>
      <c r="L22" s="61" t="s">
        <v>620</v>
      </c>
      <c r="M22" s="115" t="s">
        <v>620</v>
      </c>
      <c r="N22" s="115" t="s">
        <v>620</v>
      </c>
      <c r="O22" s="76" t="str">
        <f aca="false">IF(AND(ISNUMBER(D22),ISNUMBER(M22),ISNUMBER(N22)),D22/((M22+N22)/2),"—")</f>
        <v>—</v>
      </c>
      <c r="P22" s="60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61" t="s">
        <v>2853</v>
      </c>
      <c r="R22" s="61" t="s">
        <v>2847</v>
      </c>
      <c r="S22" s="6" t="s">
        <v>620</v>
      </c>
    </row>
    <row r="23" customFormat="false" ht="44" hidden="false" customHeight="false" outlineLevel="0" collapsed="false">
      <c r="A23" s="61" t="s">
        <v>2855</v>
      </c>
      <c r="B23" s="6" t="s">
        <v>2856</v>
      </c>
      <c r="C23" s="5" t="s">
        <v>2843</v>
      </c>
      <c r="D23" s="125" t="n">
        <f aca="false">INDEX(IF_CostDec_Astra,1,11)</f>
        <v>1.70435816575049</v>
      </c>
      <c r="E23" s="115" t="n">
        <f aca="false">INDEX(IF_CostDec_Astra,1,10)</f>
        <v>1.32608273033948</v>
      </c>
      <c r="F23" s="115" t="n">
        <f aca="false">INDEX(IF_CostDec_Astra,1,12)</f>
        <v>2.7534433949855</v>
      </c>
      <c r="G23" s="61" t="s">
        <v>807</v>
      </c>
      <c r="H23" s="5" t="s">
        <v>2783</v>
      </c>
      <c r="I23" s="5" t="s">
        <v>2844</v>
      </c>
      <c r="J23" s="6" t="s">
        <v>2845</v>
      </c>
      <c r="K23" s="5" t="s">
        <v>2846</v>
      </c>
      <c r="L23" s="61" t="s">
        <v>620</v>
      </c>
      <c r="M23" s="115" t="s">
        <v>620</v>
      </c>
      <c r="N23" s="115" t="s">
        <v>620</v>
      </c>
      <c r="O23" s="76" t="str">
        <f aca="false">IF(AND(ISNUMBER(D23),ISNUMBER(M23),ISNUMBER(N23)),D23/((M23+N23)/2),"—")</f>
        <v>—</v>
      </c>
      <c r="P23" s="60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61" t="s">
        <v>2855</v>
      </c>
      <c r="R23" s="61" t="s">
        <v>2847</v>
      </c>
      <c r="S23" s="6" t="s">
        <v>2848</v>
      </c>
    </row>
    <row r="24" customFormat="false" ht="44" hidden="false" customHeight="false" outlineLevel="0" collapsed="false">
      <c r="A24" s="61" t="s">
        <v>2857</v>
      </c>
      <c r="B24" s="6" t="s">
        <v>2858</v>
      </c>
      <c r="C24" s="5" t="s">
        <v>2843</v>
      </c>
      <c r="D24" s="125" t="n">
        <f aca="false">INDEX(IF_CostDec_Astra,1,8)</f>
        <v>3.48781422353906</v>
      </c>
      <c r="E24" s="115" t="n">
        <f aca="false">INDEX(IF_CostDec_Astra,1,7)</f>
        <v>2.70047072784554</v>
      </c>
      <c r="F24" s="115" t="n">
        <f aca="false">INDEX(IF_CostDec_Astra,1,9)</f>
        <v>5.93817376587556</v>
      </c>
      <c r="G24" s="61" t="s">
        <v>807</v>
      </c>
      <c r="H24" s="5" t="s">
        <v>2783</v>
      </c>
      <c r="I24" s="5" t="s">
        <v>2844</v>
      </c>
      <c r="J24" s="6" t="s">
        <v>2845</v>
      </c>
      <c r="K24" s="5" t="s">
        <v>2846</v>
      </c>
      <c r="L24" s="61" t="s">
        <v>620</v>
      </c>
      <c r="M24" s="115" t="s">
        <v>620</v>
      </c>
      <c r="N24" s="115" t="s">
        <v>620</v>
      </c>
      <c r="O24" s="76" t="str">
        <f aca="false">IF(AND(ISNUMBER(D24),ISNUMBER(M24),ISNUMBER(N24)),D24/((M24+N24)/2),"—")</f>
        <v>—</v>
      </c>
      <c r="P24" s="60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61" t="s">
        <v>2857</v>
      </c>
      <c r="R24" s="61" t="s">
        <v>2847</v>
      </c>
      <c r="S24" s="6" t="s">
        <v>620</v>
      </c>
    </row>
    <row r="25" customFormat="false" ht="29.85" hidden="false" customHeight="false" outlineLevel="0" collapsed="false">
      <c r="A25" s="61" t="s">
        <v>2859</v>
      </c>
      <c r="B25" s="6" t="s">
        <v>2860</v>
      </c>
      <c r="C25" s="5" t="s">
        <v>2861</v>
      </c>
      <c r="D25" s="116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1" t="s">
        <v>2862</v>
      </c>
      <c r="H25" s="5" t="s">
        <v>2783</v>
      </c>
      <c r="I25" s="5" t="s">
        <v>2863</v>
      </c>
      <c r="J25" s="5" t="s">
        <v>2864</v>
      </c>
      <c r="K25" s="6" t="s">
        <v>2865</v>
      </c>
      <c r="L25" s="61" t="s">
        <v>2866</v>
      </c>
      <c r="M25" s="94" t="n">
        <f aca="false">SRC_PERF_011</f>
        <v>0.078</v>
      </c>
      <c r="N25" s="94" t="n">
        <f aca="false">SRC_PERF_011</f>
        <v>0.078</v>
      </c>
      <c r="O25" s="76" t="n">
        <f aca="false">IF(AND(ISNUMBER(D25),ISNUMBER(M25),ISNUMBER(N25)),D25/((M25+N25)/2),"—")</f>
        <v>0.972753741173069</v>
      </c>
      <c r="P25" s="60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61" t="s">
        <v>2859</v>
      </c>
      <c r="R25" s="61" t="s">
        <v>2867</v>
      </c>
      <c r="S25" s="6" t="s">
        <v>2868</v>
      </c>
    </row>
    <row r="26" customFormat="false" ht="44" hidden="false" customHeight="false" outlineLevel="0" collapsed="false">
      <c r="A26" s="61" t="s">
        <v>2869</v>
      </c>
      <c r="B26" s="5" t="s">
        <v>2870</v>
      </c>
      <c r="C26" s="6" t="s">
        <v>2871</v>
      </c>
      <c r="D26" s="125" t="n">
        <f aca="false">INDEX(IF_RevGW_Luna,1,11)</f>
        <v>37.2582226398973</v>
      </c>
      <c r="E26" s="94" t="n">
        <f aca="false">INDEX(IF_RevGW_Luna,1,11)*(Sens_Rev!$B$6/IF_Util)</f>
        <v>24.8388150932649</v>
      </c>
      <c r="F26" s="94" t="n">
        <f aca="false">INDEX(IF_RevGW_Luna,1,11)*(Sens_Rev!$B$7/IF_Util)</f>
        <v>49.6776301865298</v>
      </c>
      <c r="G26" s="61" t="s">
        <v>1560</v>
      </c>
      <c r="H26" s="5" t="s">
        <v>2872</v>
      </c>
      <c r="I26" s="5" t="s">
        <v>2873</v>
      </c>
      <c r="J26" s="5" t="s">
        <v>2874</v>
      </c>
      <c r="K26" s="5" t="s">
        <v>2875</v>
      </c>
      <c r="L26" s="61" t="s">
        <v>620</v>
      </c>
      <c r="M26" s="115" t="s">
        <v>620</v>
      </c>
      <c r="N26" s="115" t="s">
        <v>620</v>
      </c>
      <c r="O26" s="76" t="str">
        <f aca="false">IF(AND(ISNUMBER(D26),ISNUMBER(M26),ISNUMBER(N26)),D26/((M26+N26)/2),"—")</f>
        <v>—</v>
      </c>
      <c r="P26" s="60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61" t="s">
        <v>2869</v>
      </c>
      <c r="R26" s="61" t="s">
        <v>2876</v>
      </c>
      <c r="S26" s="5" t="s">
        <v>2877</v>
      </c>
    </row>
    <row r="27" customFormat="false" ht="44" hidden="false" customHeight="false" outlineLevel="0" collapsed="false">
      <c r="A27" s="61" t="s">
        <v>2878</v>
      </c>
      <c r="B27" s="5" t="s">
        <v>2879</v>
      </c>
      <c r="C27" s="6" t="s">
        <v>2871</v>
      </c>
      <c r="D27" s="125" t="n">
        <f aca="false">INDEX(IF_RevGW_Sol,1,11)</f>
        <v>228.808271164193</v>
      </c>
      <c r="E27" s="94" t="n">
        <f aca="false">INDEX(IF_RevGW_Sol,1,11)*(Sens_Rev!$B$6/IF_Util)</f>
        <v>152.538847442795</v>
      </c>
      <c r="F27" s="94" t="n">
        <f aca="false">INDEX(IF_RevGW_Sol,1,11)*(Sens_Rev!$B$7/IF_Util)</f>
        <v>305.07769488559</v>
      </c>
      <c r="G27" s="61" t="s">
        <v>1560</v>
      </c>
      <c r="H27" s="5" t="s">
        <v>2872</v>
      </c>
      <c r="I27" s="5" t="s">
        <v>2873</v>
      </c>
      <c r="J27" s="5" t="s">
        <v>2874</v>
      </c>
      <c r="K27" s="5" t="s">
        <v>2875</v>
      </c>
      <c r="L27" s="61" t="s">
        <v>620</v>
      </c>
      <c r="M27" s="115" t="s">
        <v>620</v>
      </c>
      <c r="N27" s="115" t="s">
        <v>620</v>
      </c>
      <c r="O27" s="76" t="str">
        <f aca="false">IF(AND(ISNUMBER(D27),ISNUMBER(M27),ISNUMBER(N27)),D27/((M27+N27)/2),"—")</f>
        <v>—</v>
      </c>
      <c r="P27" s="60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61" t="s">
        <v>2878</v>
      </c>
      <c r="R27" s="61" t="s">
        <v>2876</v>
      </c>
      <c r="S27" s="5" t="s">
        <v>2877</v>
      </c>
    </row>
    <row r="28" customFormat="false" ht="44" hidden="false" customHeight="false" outlineLevel="0" collapsed="false">
      <c r="A28" s="61" t="s">
        <v>2880</v>
      </c>
      <c r="B28" s="5" t="s">
        <v>2881</v>
      </c>
      <c r="C28" s="6" t="s">
        <v>2871</v>
      </c>
      <c r="D28" s="125" t="n">
        <f aca="false">INDEX(IF_RevGW_Astra,1,11)</f>
        <v>246.697456312585</v>
      </c>
      <c r="E28" s="94" t="n">
        <f aca="false">INDEX(IF_RevGW_Astra,1,11)*(Sens_Rev!$B$6/IF_Util)</f>
        <v>164.464970875057</v>
      </c>
      <c r="F28" s="94" t="n">
        <f aca="false">INDEX(IF_RevGW_Astra,1,11)*(Sens_Rev!$B$7/IF_Util)</f>
        <v>328.929941750114</v>
      </c>
      <c r="G28" s="61" t="s">
        <v>1560</v>
      </c>
      <c r="H28" s="5" t="s">
        <v>2872</v>
      </c>
      <c r="I28" s="5" t="s">
        <v>2873</v>
      </c>
      <c r="J28" s="5" t="s">
        <v>2874</v>
      </c>
      <c r="K28" s="5" t="s">
        <v>2875</v>
      </c>
      <c r="L28" s="61" t="s">
        <v>620</v>
      </c>
      <c r="M28" s="115" t="s">
        <v>620</v>
      </c>
      <c r="N28" s="115" t="s">
        <v>620</v>
      </c>
      <c r="O28" s="76" t="str">
        <f aca="false">IF(AND(ISNUMBER(D28),ISNUMBER(M28),ISNUMBER(N28)),D28/((M28+N28)/2),"—")</f>
        <v>—</v>
      </c>
      <c r="P28" s="60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61" t="s">
        <v>2880</v>
      </c>
      <c r="R28" s="61" t="s">
        <v>2876</v>
      </c>
      <c r="S28" s="5" t="s">
        <v>2877</v>
      </c>
    </row>
    <row r="29" customFormat="false" ht="44" hidden="false" customHeight="false" outlineLevel="0" collapsed="false">
      <c r="A29" s="61" t="s">
        <v>2882</v>
      </c>
      <c r="B29" s="6" t="s">
        <v>2883</v>
      </c>
      <c r="C29" s="6" t="s">
        <v>2871</v>
      </c>
      <c r="D29" s="125" t="n">
        <f aca="false">INDEX(IF_RevGWFleet,1,11)</f>
        <v>48.7237019639935</v>
      </c>
      <c r="E29" s="94" t="n">
        <f aca="false">INDEX(IF_RevGWFleet,1,11)*(Sens_Rev!$B$6/IF_Util)</f>
        <v>32.4824679759956</v>
      </c>
      <c r="F29" s="94" t="n">
        <f aca="false">INDEX(IF_RevGWFleet,1,11)*(Sens_Rev!$B$7/IF_Util)</f>
        <v>64.9649359519913</v>
      </c>
      <c r="G29" s="61" t="s">
        <v>1560</v>
      </c>
      <c r="H29" s="5" t="s">
        <v>2872</v>
      </c>
      <c r="I29" s="5" t="s">
        <v>2873</v>
      </c>
      <c r="J29" s="5" t="s">
        <v>2874</v>
      </c>
      <c r="K29" s="5" t="s">
        <v>2875</v>
      </c>
      <c r="L29" s="61" t="s">
        <v>620</v>
      </c>
      <c r="M29" s="115" t="s">
        <v>620</v>
      </c>
      <c r="N29" s="115" t="s">
        <v>620</v>
      </c>
      <c r="O29" s="76" t="str">
        <f aca="false">IF(AND(ISNUMBER(D29),ISNUMBER(M29),ISNUMBER(N29)),D29/((M29+N29)/2),"—")</f>
        <v>—</v>
      </c>
      <c r="P29" s="60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61" t="s">
        <v>2882</v>
      </c>
      <c r="R29" s="61" t="s">
        <v>2876</v>
      </c>
      <c r="S29" s="5" t="s">
        <v>2877</v>
      </c>
    </row>
    <row r="30" customFormat="false" ht="29.85" hidden="false" customHeight="false" outlineLevel="0" collapsed="false">
      <c r="A30" s="61" t="s">
        <v>2884</v>
      </c>
      <c r="B30" s="5" t="s">
        <v>2885</v>
      </c>
      <c r="C30" s="6" t="s">
        <v>2828</v>
      </c>
      <c r="D30" s="125" t="n">
        <f aca="false">INDEX(IF_GPUhrEcon,1,5)</f>
        <v>2.00846099652078</v>
      </c>
      <c r="E30" s="115" t="n">
        <f aca="false">INDEX(IF_GPUhrEcon,1,4)</f>
        <v>1.50422814430785</v>
      </c>
      <c r="F30" s="115" t="n">
        <f aca="false">INDEX(IF_GPUhrEcon,1,6)</f>
        <v>3.25756227849869</v>
      </c>
      <c r="G30" s="61" t="s">
        <v>852</v>
      </c>
      <c r="H30" s="5" t="s">
        <v>2783</v>
      </c>
      <c r="I30" s="5" t="s">
        <v>2886</v>
      </c>
      <c r="J30" s="5" t="s">
        <v>2830</v>
      </c>
      <c r="K30" s="5" t="s">
        <v>2887</v>
      </c>
      <c r="L30" s="61" t="s">
        <v>2888</v>
      </c>
      <c r="M30" s="94" t="n">
        <f aca="false">SRC_PRC_001/4</f>
        <v>10.5</v>
      </c>
      <c r="N30" s="94" t="n">
        <f aca="false">SRC_PRC_001/4</f>
        <v>10.5</v>
      </c>
      <c r="O30" s="76" t="n">
        <f aca="false">IF(AND(ISNUMBER(D30),ISNUMBER(M30),ISNUMBER(N30)),D30/((M30+N30)/2),"—")</f>
        <v>0.191281999668646</v>
      </c>
      <c r="P30" s="60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61" t="s">
        <v>2884</v>
      </c>
      <c r="R30" s="61" t="s">
        <v>2889</v>
      </c>
      <c r="S30" s="5" t="s">
        <v>2890</v>
      </c>
    </row>
    <row r="31" customFormat="false" ht="44" hidden="false" customHeight="false" outlineLevel="0" collapsed="false">
      <c r="A31" s="61" t="s">
        <v>2891</v>
      </c>
      <c r="B31" s="5" t="s">
        <v>2892</v>
      </c>
      <c r="C31" s="6" t="s">
        <v>2828</v>
      </c>
      <c r="D31" s="125" t="n">
        <f aca="false">INDEX(IF_GPUhrEcon,1,8)</f>
        <v>2.55178761329595</v>
      </c>
      <c r="E31" s="115" t="n">
        <f aca="false">INDEX(IF_GPUhrEcon,1,7)</f>
        <v>1.97574392204647</v>
      </c>
      <c r="F31" s="115" t="n">
        <f aca="false">INDEX(IF_GPUhrEcon,1,9)</f>
        <v>4.34454282544458</v>
      </c>
      <c r="G31" s="61" t="s">
        <v>852</v>
      </c>
      <c r="H31" s="5" t="s">
        <v>2783</v>
      </c>
      <c r="I31" s="5" t="s">
        <v>2893</v>
      </c>
      <c r="J31" s="5" t="s">
        <v>2830</v>
      </c>
      <c r="K31" s="5" t="s">
        <v>2894</v>
      </c>
      <c r="L31" s="61" t="s">
        <v>2895</v>
      </c>
      <c r="M31" s="94" t="n">
        <f aca="false">SRC_PRC_002</f>
        <v>3.57</v>
      </c>
      <c r="N31" s="94" t="n">
        <f aca="false">SRC_PRC_002</f>
        <v>3.57</v>
      </c>
      <c r="O31" s="76" t="n">
        <f aca="false">IF(AND(ISNUMBER(D31),ISNUMBER(M31),ISNUMBER(N31)),D31/((M31+N31)/2),"—")</f>
        <v>0.714786446301386</v>
      </c>
      <c r="P31" s="60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61" t="s">
        <v>2891</v>
      </c>
      <c r="R31" s="61" t="s">
        <v>2896</v>
      </c>
      <c r="S31" s="5" t="s">
        <v>2897</v>
      </c>
    </row>
    <row r="32" customFormat="false" ht="29.85" hidden="false" customHeight="false" outlineLevel="0" collapsed="false">
      <c r="A32" s="61" t="s">
        <v>2898</v>
      </c>
      <c r="B32" s="6" t="s">
        <v>2899</v>
      </c>
      <c r="C32" s="6" t="s">
        <v>2900</v>
      </c>
      <c r="D32" s="116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1" t="s">
        <v>103</v>
      </c>
      <c r="H32" s="6" t="s">
        <v>2901</v>
      </c>
      <c r="I32" s="5" t="s">
        <v>2902</v>
      </c>
      <c r="J32" s="6" t="s">
        <v>2903</v>
      </c>
      <c r="K32" s="6" t="s">
        <v>2904</v>
      </c>
      <c r="L32" s="61" t="s">
        <v>2905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6" t="n">
        <f aca="false">IF(AND(ISNUMBER(D32),ISNUMBER(M32),ISNUMBER(N32)),D32/((M32+N32)/2),"—")</f>
        <v>6.73063453619936</v>
      </c>
      <c r="P32" s="60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61" t="s">
        <v>2898</v>
      </c>
      <c r="R32" s="61" t="s">
        <v>2906</v>
      </c>
      <c r="S32" s="5" t="s">
        <v>2907</v>
      </c>
    </row>
    <row r="33" customFormat="false" ht="44" hidden="false" customHeight="false" outlineLevel="0" collapsed="false">
      <c r="A33" s="61" t="s">
        <v>2908</v>
      </c>
      <c r="B33" s="6" t="s">
        <v>2909</v>
      </c>
      <c r="C33" s="6" t="s">
        <v>2900</v>
      </c>
      <c r="D33" s="116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1" t="s">
        <v>103</v>
      </c>
      <c r="H33" s="6" t="s">
        <v>2901</v>
      </c>
      <c r="I33" s="5" t="s">
        <v>2910</v>
      </c>
      <c r="J33" s="6" t="s">
        <v>2903</v>
      </c>
      <c r="K33" s="6" t="s">
        <v>2904</v>
      </c>
      <c r="L33" s="61" t="s">
        <v>2911</v>
      </c>
      <c r="M33" s="94" t="n">
        <f aca="false">SRC_MOD_036</f>
        <v>1</v>
      </c>
      <c r="N33" s="94" t="n">
        <f aca="false">SRC_MOD_036</f>
        <v>1</v>
      </c>
      <c r="O33" s="76" t="n">
        <f aca="false">IF(AND(ISNUMBER(D33),ISNUMBER(M33),ISNUMBER(N33)),D33/((M33+N33)/2),"—")</f>
        <v>1.12717162997901</v>
      </c>
      <c r="P33" s="60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61" t="s">
        <v>2908</v>
      </c>
      <c r="R33" s="61" t="s">
        <v>2912</v>
      </c>
      <c r="S33" s="5" t="s">
        <v>2913</v>
      </c>
    </row>
    <row r="34" customFormat="false" ht="29.85" hidden="false" customHeight="false" outlineLevel="0" collapsed="false">
      <c r="A34" s="61" t="s">
        <v>2914</v>
      </c>
      <c r="B34" s="5" t="s">
        <v>2915</v>
      </c>
      <c r="C34" s="6" t="s">
        <v>2916</v>
      </c>
      <c r="D34" s="116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1" t="s">
        <v>99</v>
      </c>
      <c r="H34" s="5" t="s">
        <v>2917</v>
      </c>
      <c r="I34" s="5" t="s">
        <v>2918</v>
      </c>
      <c r="J34" s="5" t="s">
        <v>2919</v>
      </c>
      <c r="K34" s="5" t="s">
        <v>2920</v>
      </c>
      <c r="L34" s="61" t="s">
        <v>2921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6" t="n">
        <f aca="false">IF(AND(ISNUMBER(D34),ISNUMBER(M34),ISNUMBER(N34)),D34/((M34+N34)/2),"—")</f>
        <v>0.77639751552795</v>
      </c>
      <c r="P34" s="60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61" t="s">
        <v>2914</v>
      </c>
      <c r="R34" s="61" t="s">
        <v>2922</v>
      </c>
      <c r="S34" s="5" t="s">
        <v>2923</v>
      </c>
    </row>
    <row r="35" customFormat="false" ht="72.35" hidden="false" customHeight="false" outlineLevel="0" collapsed="false">
      <c r="A35" s="61" t="s">
        <v>2924</v>
      </c>
      <c r="B35" s="6" t="s">
        <v>2925</v>
      </c>
      <c r="C35" s="6" t="s">
        <v>2926</v>
      </c>
      <c r="D35" s="116" t="n">
        <f aca="false">Checks!$B$43</f>
        <v>10.5538338262047</v>
      </c>
      <c r="E35" s="94" t="n">
        <f aca="false">Checks!$B$43</f>
        <v>10.5538338262047</v>
      </c>
      <c r="F35" s="94" t="n">
        <f aca="false">Checks!$B$43</f>
        <v>10.5538338262047</v>
      </c>
      <c r="G35" s="61" t="s">
        <v>1560</v>
      </c>
      <c r="H35" s="5" t="s">
        <v>2927</v>
      </c>
      <c r="I35" s="5" t="s">
        <v>2928</v>
      </c>
      <c r="J35" s="6" t="s">
        <v>2929</v>
      </c>
      <c r="K35" s="6" t="s">
        <v>2930</v>
      </c>
      <c r="L35" s="61" t="s">
        <v>2931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6" t="n">
        <f aca="false">IF(AND(ISNUMBER(D35),ISNUMBER(M35),ISNUMBER(N35)),D35/((M35+N35)/2),"—")</f>
        <v>1.0093567163547</v>
      </c>
      <c r="P35" s="60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61" t="s">
        <v>2924</v>
      </c>
      <c r="R35" s="61" t="s">
        <v>2932</v>
      </c>
      <c r="S35" s="5" t="s">
        <v>2933</v>
      </c>
    </row>
    <row r="36" customFormat="false" ht="58.2" hidden="false" customHeight="false" outlineLevel="0" collapsed="false">
      <c r="A36" s="61" t="s">
        <v>2934</v>
      </c>
      <c r="B36" s="6" t="s">
        <v>2935</v>
      </c>
      <c r="C36" s="6" t="s">
        <v>2936</v>
      </c>
      <c r="D36" s="116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1" t="s">
        <v>314</v>
      </c>
      <c r="H36" s="5" t="s">
        <v>2937</v>
      </c>
      <c r="I36" s="5" t="s">
        <v>2938</v>
      </c>
      <c r="J36" s="6" t="s">
        <v>2939</v>
      </c>
      <c r="K36" s="6" t="s">
        <v>2940</v>
      </c>
      <c r="L36" s="61" t="s">
        <v>2941</v>
      </c>
      <c r="M36" s="94" t="n">
        <f aca="false">SRC_MOD_055_Lo</f>
        <v>5E+026</v>
      </c>
      <c r="N36" s="94" t="n">
        <f aca="false">SRC_MOD_055_Hi</f>
        <v>2E+027</v>
      </c>
      <c r="O36" s="76" t="n">
        <f aca="false">IF(AND(ISNUMBER(D36),ISNUMBER(M36),ISNUMBER(N36)),D36/((M36+N36)/2),"—")</f>
        <v>0.0547391029248</v>
      </c>
      <c r="P36" s="60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61" t="s">
        <v>2934</v>
      </c>
      <c r="R36" s="61" t="s">
        <v>2942</v>
      </c>
      <c r="S36" s="5" t="s">
        <v>2943</v>
      </c>
    </row>
    <row r="37" customFormat="false" ht="69.4" hidden="false" customHeight="false" outlineLevel="0" collapsed="false">
      <c r="A37" s="61" t="s">
        <v>2944</v>
      </c>
      <c r="B37" s="5" t="s">
        <v>2945</v>
      </c>
      <c r="C37" s="6" t="s">
        <v>2946</v>
      </c>
      <c r="D37" s="125" t="n">
        <f aca="false">IF_AllocQ1</f>
        <v>0.364100331567795</v>
      </c>
      <c r="E37" s="115" t="n">
        <f aca="false">IF(ISNUMBER(IF_AllocQ1),MIN(AL_SensQ1),"—")</f>
        <v>0.222568864456545</v>
      </c>
      <c r="F37" s="115" t="n">
        <f aca="false">IF(ISNUMBER(IF_AllocQ1),MAX(AL_SensQ1),"—")</f>
        <v>0.800320520257333</v>
      </c>
      <c r="G37" s="61" t="s">
        <v>99</v>
      </c>
      <c r="H37" s="6" t="s">
        <v>2947</v>
      </c>
      <c r="I37" s="5" t="s">
        <v>2948</v>
      </c>
      <c r="J37" s="6" t="s">
        <v>2949</v>
      </c>
      <c r="K37" s="5" t="s">
        <v>2950</v>
      </c>
      <c r="L37" s="61" t="s">
        <v>620</v>
      </c>
      <c r="M37" s="115" t="s">
        <v>620</v>
      </c>
      <c r="N37" s="115" t="s">
        <v>620</v>
      </c>
      <c r="O37" s="76" t="str">
        <f aca="false">IF(AND(ISNUMBER(D37),ISNUMBER(M37),ISNUMBER(N37)),D37/((M37+N37)/2),"—")</f>
        <v>—</v>
      </c>
      <c r="P37" s="60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61" t="s">
        <v>2944</v>
      </c>
      <c r="R37" s="61" t="s">
        <v>2951</v>
      </c>
      <c r="S37" s="6" t="s">
        <v>2952</v>
      </c>
    </row>
    <row r="38" customFormat="false" ht="58.2" hidden="false" customHeight="false" outlineLevel="0" collapsed="false">
      <c r="A38" s="61" t="s">
        <v>2953</v>
      </c>
      <c r="B38" s="5" t="s">
        <v>2954</v>
      </c>
      <c r="C38" s="6" t="s">
        <v>2955</v>
      </c>
      <c r="D38" s="125" t="n">
        <f aca="false">IF_AllocQ2</f>
        <v>0.428052929990199</v>
      </c>
      <c r="E38" s="115" t="n">
        <f aca="false">IF(ISNUMBER(IF_AllocQ2),MIN(AL_SensQ2),"—")</f>
        <v>0.272307470242958</v>
      </c>
      <c r="F38" s="115" t="n">
        <f aca="false">IF(ISNUMBER(IF_AllocQ2),MAX(AL_SensQ2),"—")</f>
        <v>0.839715199895625</v>
      </c>
      <c r="G38" s="61" t="s">
        <v>99</v>
      </c>
      <c r="H38" s="6" t="s">
        <v>2956</v>
      </c>
      <c r="I38" s="5" t="s">
        <v>2957</v>
      </c>
      <c r="J38" s="6" t="s">
        <v>2958</v>
      </c>
      <c r="K38" s="5" t="s">
        <v>2950</v>
      </c>
      <c r="L38" s="61" t="s">
        <v>620</v>
      </c>
      <c r="M38" s="115" t="s">
        <v>620</v>
      </c>
      <c r="N38" s="115" t="s">
        <v>620</v>
      </c>
      <c r="O38" s="76" t="str">
        <f aca="false">IF(AND(ISNUMBER(D38),ISNUMBER(M38),ISNUMBER(N38)),D38/((M38+N38)/2),"—")</f>
        <v>—</v>
      </c>
      <c r="P38" s="60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61" t="s">
        <v>2953</v>
      </c>
      <c r="R38" s="61" t="s">
        <v>2951</v>
      </c>
      <c r="S38" s="5" t="s">
        <v>2959</v>
      </c>
    </row>
    <row r="39" customFormat="false" ht="129.1" hidden="false" customHeight="false" outlineLevel="0" collapsed="false">
      <c r="A39" s="61" t="s">
        <v>2960</v>
      </c>
      <c r="B39" s="5" t="s">
        <v>2961</v>
      </c>
      <c r="C39" s="6" t="s">
        <v>2962</v>
      </c>
      <c r="D39" s="125" t="n">
        <f aca="false">AL_RDCost</f>
        <v>1.10866321398852</v>
      </c>
      <c r="E39" s="115" t="n">
        <f aca="false">IF(ISNUMBER(AL_RDCost),MIN(AL_SensCost),"—")</f>
        <v>0.554331606994261</v>
      </c>
      <c r="F39" s="115" t="n">
        <f aca="false">IF(ISNUMBER(AL_RDCost),MAX(AL_SensCost),"—")</f>
        <v>7.76064249791965</v>
      </c>
      <c r="G39" s="61" t="s">
        <v>1814</v>
      </c>
      <c r="H39" s="6" t="s">
        <v>2963</v>
      </c>
      <c r="I39" s="6" t="s">
        <v>2964</v>
      </c>
      <c r="J39" s="6" t="s">
        <v>2965</v>
      </c>
      <c r="K39" s="5" t="s">
        <v>2966</v>
      </c>
      <c r="L39" s="61" t="s">
        <v>2967</v>
      </c>
      <c r="M39" s="94" t="n">
        <f aca="false">SRC_DEM_006</f>
        <v>12</v>
      </c>
      <c r="N39" s="94" t="n">
        <f aca="false">SRC_DEM_006</f>
        <v>12</v>
      </c>
      <c r="O39" s="76" t="n">
        <f aca="false">IF(AND(ISNUMBER(D39),ISNUMBER(M39),ISNUMBER(N39)),D39/((M39+N39)/2),"—")</f>
        <v>0.0923886011657101</v>
      </c>
      <c r="P39" s="60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61" t="s">
        <v>2960</v>
      </c>
      <c r="R39" s="61" t="s">
        <v>2968</v>
      </c>
      <c r="S39" s="5" t="s">
        <v>2969</v>
      </c>
    </row>
    <row r="40" customFormat="false" ht="83.55" hidden="false" customHeight="false" outlineLevel="0" collapsed="false">
      <c r="A40" s="61" t="s">
        <v>2970</v>
      </c>
      <c r="B40" s="5" t="s">
        <v>2971</v>
      </c>
      <c r="C40" s="6" t="s">
        <v>2972</v>
      </c>
      <c r="D40" s="125" t="n">
        <f aca="false">L1_CostDec_Sol_VR200</f>
        <v>0.329255999075451</v>
      </c>
      <c r="E40" s="115" t="n">
        <f aca="false">L1_CostDec_Sol_VR200_Lo</f>
        <v>0.256178955227036</v>
      </c>
      <c r="F40" s="115" t="n">
        <f aca="false">L1_CostDec_Sol_VR200_Hi</f>
        <v>0.531923262452556</v>
      </c>
      <c r="G40" s="61" t="s">
        <v>807</v>
      </c>
      <c r="H40" s="5" t="s">
        <v>2783</v>
      </c>
      <c r="I40" s="5" t="s">
        <v>2973</v>
      </c>
      <c r="J40" s="6" t="s">
        <v>2845</v>
      </c>
      <c r="K40" s="5" t="s">
        <v>2846</v>
      </c>
      <c r="L40" s="61" t="s">
        <v>620</v>
      </c>
      <c r="M40" s="115" t="s">
        <v>620</v>
      </c>
      <c r="N40" s="115" t="s">
        <v>620</v>
      </c>
      <c r="O40" s="76" t="str">
        <f aca="false">IF(AND(ISNUMBER(D40),ISNUMBER(M40),ISNUMBER(N40)),D40/((M40+N40)/2),"—")</f>
        <v>—</v>
      </c>
      <c r="P40" s="60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61" t="s">
        <v>2970</v>
      </c>
      <c r="R40" s="61" t="s">
        <v>2974</v>
      </c>
      <c r="S40" s="6" t="s">
        <v>2975</v>
      </c>
    </row>
    <row r="41" customFormat="false" ht="72.35" hidden="false" customHeight="false" outlineLevel="0" collapsed="false">
      <c r="A41" s="61" t="s">
        <v>2976</v>
      </c>
      <c r="B41" s="5" t="s">
        <v>2977</v>
      </c>
      <c r="C41" s="6" t="s">
        <v>2978</v>
      </c>
      <c r="D41" s="125" t="n">
        <f aca="false">L1_RevGW_Sol_VR200</f>
        <v>228.808271164193</v>
      </c>
      <c r="E41" s="115" t="n">
        <f aca="false">L1_RevGW_Sol_VR200_Lo</f>
        <v>152.538847442795</v>
      </c>
      <c r="F41" s="115" t="n">
        <f aca="false">L1_RevGW_Sol_VR200_Hi</f>
        <v>305.07769488559</v>
      </c>
      <c r="G41" s="61" t="s">
        <v>1560</v>
      </c>
      <c r="H41" s="5" t="s">
        <v>2872</v>
      </c>
      <c r="I41" s="5" t="s">
        <v>2979</v>
      </c>
      <c r="J41" s="5" t="s">
        <v>2980</v>
      </c>
      <c r="K41" s="5" t="s">
        <v>2981</v>
      </c>
      <c r="L41" s="61" t="s">
        <v>620</v>
      </c>
      <c r="M41" s="115" t="s">
        <v>620</v>
      </c>
      <c r="N41" s="115" t="s">
        <v>620</v>
      </c>
      <c r="O41" s="76" t="str">
        <f aca="false">IF(AND(ISNUMBER(D41),ISNUMBER(M41),ISNUMBER(N41)),D41/((M41+N41)/2),"—")</f>
        <v>—</v>
      </c>
      <c r="P41" s="60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61" t="s">
        <v>2976</v>
      </c>
      <c r="R41" s="61" t="s">
        <v>2982</v>
      </c>
      <c r="S41" s="6" t="s">
        <v>620</v>
      </c>
    </row>
    <row r="42" customFormat="false" ht="58.2" hidden="false" customHeight="false" outlineLevel="0" collapsed="false">
      <c r="A42" s="61" t="s">
        <v>2983</v>
      </c>
      <c r="B42" s="5" t="s">
        <v>2984</v>
      </c>
      <c r="C42" s="5" t="s">
        <v>2985</v>
      </c>
      <c r="D42" s="125" t="n">
        <f aca="false">INDEX(IF_PostShareFLOP_Sol,1,AL_TrainCol)</f>
        <v>0.127029214627552</v>
      </c>
      <c r="E42" s="115" t="n">
        <f aca="false">INDEX(IF_PostShareFLOP_Sol,1,AL_TrainCol)</f>
        <v>0.127029214627552</v>
      </c>
      <c r="F42" s="115" t="n">
        <f aca="false">INDEX(IF_PostShareFLOP_Sol,1,AL_TrainCol)</f>
        <v>0.127029214627552</v>
      </c>
      <c r="G42" s="61" t="s">
        <v>99</v>
      </c>
      <c r="H42" s="5" t="s">
        <v>2986</v>
      </c>
      <c r="I42" s="6" t="s">
        <v>2987</v>
      </c>
      <c r="J42" s="6" t="s">
        <v>2988</v>
      </c>
      <c r="K42" s="6" t="s">
        <v>2904</v>
      </c>
      <c r="L42" s="61" t="s">
        <v>620</v>
      </c>
      <c r="M42" s="115" t="s">
        <v>620</v>
      </c>
      <c r="N42" s="115" t="s">
        <v>620</v>
      </c>
      <c r="O42" s="76" t="str">
        <f aca="false">IF(AND(ISNUMBER(D42),ISNUMBER(M42),ISNUMBER(N42)),D42/((M42+N42)/2),"—")</f>
        <v>—</v>
      </c>
      <c r="P42" s="60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61" t="s">
        <v>2983</v>
      </c>
      <c r="R42" s="61" t="s">
        <v>2989</v>
      </c>
      <c r="S42" s="5" t="s">
        <v>2990</v>
      </c>
    </row>
    <row r="43" customFormat="false" ht="114.9" hidden="false" customHeight="false" outlineLevel="0" collapsed="false">
      <c r="A43" s="61" t="s">
        <v>2991</v>
      </c>
      <c r="B43" s="5" t="s">
        <v>2992</v>
      </c>
      <c r="C43" s="6" t="s">
        <v>2993</v>
      </c>
      <c r="D43" s="125" t="n">
        <f aca="false">IF(AND(ISNUMBER(IF_PriceRef_Sol),ISNUMBER(IF_FrontRef_Sol)),IF_PriceRef_Sol/IF_FrontRef_Sol,"—")</f>
        <v>1</v>
      </c>
      <c r="E43" s="115" t="n">
        <f aca="false">IF(AND(ISNUMBER(IF_PriceRef_Sol),ISNUMBER(IF_FrontRef_Sol)),IF_PriceRef_Sol/IF_FrontRef_Sol,"—")</f>
        <v>1</v>
      </c>
      <c r="F43" s="115" t="n">
        <f aca="false">IF(AND(ISNUMBER(IF_PriceRef_Sol),ISNUMBER(IF_FrontRef_Sol)),IF_PriceRef_Sol/IF_FrontRef_Sol,"—")</f>
        <v>1</v>
      </c>
      <c r="G43" s="61" t="s">
        <v>103</v>
      </c>
      <c r="H43" s="5" t="s">
        <v>2986</v>
      </c>
      <c r="I43" s="5" t="s">
        <v>2994</v>
      </c>
      <c r="J43" s="5" t="s">
        <v>2995</v>
      </c>
      <c r="K43" s="6" t="s">
        <v>2996</v>
      </c>
      <c r="L43" s="61" t="s">
        <v>620</v>
      </c>
      <c r="M43" s="115" t="s">
        <v>620</v>
      </c>
      <c r="N43" s="115" t="s">
        <v>620</v>
      </c>
      <c r="O43" s="76" t="str">
        <f aca="false">IF(AND(ISNUMBER(D43),ISNUMBER(M43),ISNUMBER(N43)),D43/((M43+N43)/2),"—")</f>
        <v>—</v>
      </c>
      <c r="P43" s="60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61" t="s">
        <v>2991</v>
      </c>
      <c r="R43" s="61" t="s">
        <v>2876</v>
      </c>
      <c r="S43" s="5" t="s">
        <v>2990</v>
      </c>
    </row>
    <row r="44" customFormat="false" ht="44" hidden="false" customHeight="false" outlineLevel="0" collapsed="false">
      <c r="A44" s="61" t="s">
        <v>2997</v>
      </c>
      <c r="B44" s="5" t="s">
        <v>2998</v>
      </c>
      <c r="C44" s="6" t="s">
        <v>2999</v>
      </c>
      <c r="D44" s="125" t="n">
        <f aca="false">INDEX(IF_HarR_Sol,1,5)</f>
        <v>0.4793958062764</v>
      </c>
      <c r="E44" s="115" t="n">
        <f aca="false">INDEX(IF_HarR_Sol,1,5)</f>
        <v>0.4793958062764</v>
      </c>
      <c r="F44" s="115" t="n">
        <f aca="false">INDEX(IF_HarR_Sol,1,5)</f>
        <v>0.4793958062764</v>
      </c>
      <c r="G44" s="61" t="s">
        <v>103</v>
      </c>
      <c r="H44" s="5" t="s">
        <v>2986</v>
      </c>
      <c r="I44" s="6" t="s">
        <v>3000</v>
      </c>
      <c r="J44" s="5" t="s">
        <v>3001</v>
      </c>
      <c r="K44" s="6" t="s">
        <v>3002</v>
      </c>
      <c r="L44" s="61" t="s">
        <v>620</v>
      </c>
      <c r="M44" s="115" t="s">
        <v>620</v>
      </c>
      <c r="N44" s="115" t="s">
        <v>620</v>
      </c>
      <c r="O44" s="76" t="str">
        <f aca="false">IF(AND(ISNUMBER(D44),ISNUMBER(M44),ISNUMBER(N44)),D44/((M44+N44)/2),"—")</f>
        <v>—</v>
      </c>
      <c r="P44" s="60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61" t="s">
        <v>2997</v>
      </c>
      <c r="R44" s="61" t="s">
        <v>3003</v>
      </c>
      <c r="S44" s="6" t="s">
        <v>620</v>
      </c>
    </row>
    <row r="45" customFormat="false" ht="58.2" hidden="false" customHeight="false" outlineLevel="0" collapsed="false">
      <c r="A45" s="61" t="s">
        <v>3004</v>
      </c>
      <c r="B45" s="5" t="s">
        <v>3005</v>
      </c>
      <c r="C45" s="6" t="s">
        <v>3006</v>
      </c>
      <c r="D45" s="125" t="n">
        <f aca="false">INDEX(IF_FrontSuccVR,1,5)</f>
        <v>0.0212952098427094</v>
      </c>
      <c r="E45" s="115" t="n">
        <f aca="false">INDEX(IF_FrontSuccVR,1,5)</f>
        <v>0.0212952098427094</v>
      </c>
      <c r="F45" s="115" t="n">
        <f aca="false">INDEX(IF_FrontSuccVR,1,5)</f>
        <v>0.0212952098427094</v>
      </c>
      <c r="G45" s="61" t="s">
        <v>435</v>
      </c>
      <c r="H45" s="5" t="s">
        <v>3007</v>
      </c>
      <c r="I45" s="5" t="s">
        <v>3008</v>
      </c>
      <c r="J45" s="6" t="s">
        <v>3009</v>
      </c>
      <c r="K45" s="6" t="s">
        <v>3010</v>
      </c>
      <c r="L45" s="61" t="s">
        <v>620</v>
      </c>
      <c r="M45" s="115" t="s">
        <v>620</v>
      </c>
      <c r="N45" s="115" t="s">
        <v>620</v>
      </c>
      <c r="O45" s="76" t="str">
        <f aca="false">IF(AND(ISNUMBER(D45),ISNUMBER(M45),ISNUMBER(N45)),D45/((M45+N45)/2),"—")</f>
        <v>—</v>
      </c>
      <c r="P45" s="60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61" t="s">
        <v>3004</v>
      </c>
      <c r="R45" s="61" t="s">
        <v>3003</v>
      </c>
      <c r="S45" s="5" t="s">
        <v>3011</v>
      </c>
    </row>
    <row r="46" customFormat="false" ht="58.2" hidden="false" customHeight="false" outlineLevel="0" collapsed="false">
      <c r="A46" s="61" t="s">
        <v>3012</v>
      </c>
      <c r="B46" s="5" t="s">
        <v>3013</v>
      </c>
      <c r="C46" s="6" t="s">
        <v>3014</v>
      </c>
      <c r="D46" s="125" t="n">
        <f aca="false">IF_AllocServeGW</f>
        <v>0.15838044607184</v>
      </c>
      <c r="E46" s="115" t="n">
        <f aca="false">IF_AllocServeGW</f>
        <v>0.15838044607184</v>
      </c>
      <c r="F46" s="115" t="n">
        <f aca="false">IF_AllocServeGW</f>
        <v>0.15838044607184</v>
      </c>
      <c r="G46" s="61" t="s">
        <v>91</v>
      </c>
      <c r="H46" s="5" t="s">
        <v>3015</v>
      </c>
      <c r="I46" s="5" t="s">
        <v>3016</v>
      </c>
      <c r="J46" s="5" t="s">
        <v>3017</v>
      </c>
      <c r="K46" s="5" t="s">
        <v>2950</v>
      </c>
      <c r="L46" s="61" t="s">
        <v>3018</v>
      </c>
      <c r="M46" s="94" t="n">
        <f aca="false">AL_ServeGWSpend</f>
        <v>0.89809617101894</v>
      </c>
      <c r="N46" s="94" t="n">
        <f aca="false">AL_ServeGWSpend</f>
        <v>0.89809617101894</v>
      </c>
      <c r="O46" s="76" t="n">
        <f aca="false">IF(AND(ISNUMBER(D46),ISNUMBER(M46),ISNUMBER(N46)),D46/((M46+N46)/2),"—")</f>
        <v>0.176351320919394</v>
      </c>
      <c r="P46" s="60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61" t="s">
        <v>3012</v>
      </c>
      <c r="R46" s="61" t="s">
        <v>3019</v>
      </c>
      <c r="S46" s="5" t="s">
        <v>3020</v>
      </c>
    </row>
    <row r="47" customFormat="false" ht="44" hidden="false" customHeight="false" outlineLevel="0" collapsed="false">
      <c r="A47" s="61" t="s">
        <v>3021</v>
      </c>
      <c r="B47" s="5" t="s">
        <v>3022</v>
      </c>
      <c r="C47" s="6" t="s">
        <v>3023</v>
      </c>
      <c r="D47" s="125" t="n">
        <f aca="false">AL_FreeServeShare</f>
        <v>0.156760317075769</v>
      </c>
      <c r="E47" s="115" t="n">
        <f aca="false">AL_FreeServeShare</f>
        <v>0.156760317075769</v>
      </c>
      <c r="F47" s="115" t="n">
        <f aca="false">AL_FreeServeShare</f>
        <v>0.156760317075769</v>
      </c>
      <c r="G47" s="61" t="s">
        <v>99</v>
      </c>
      <c r="H47" s="5" t="s">
        <v>3015</v>
      </c>
      <c r="I47" s="6" t="s">
        <v>3024</v>
      </c>
      <c r="J47" s="5" t="s">
        <v>3025</v>
      </c>
      <c r="K47" s="5" t="s">
        <v>3026</v>
      </c>
      <c r="L47" s="61" t="s">
        <v>3027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6" t="n">
        <f aca="false">IF(AND(ISNUMBER(D47),ISNUMBER(M47),ISNUMBER(N47)),D47/((M47+N47)/2),"—")</f>
        <v>0.337637606009348</v>
      </c>
      <c r="P47" s="60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61" t="s">
        <v>3021</v>
      </c>
      <c r="R47" s="61" t="s">
        <v>3019</v>
      </c>
      <c r="S47" s="5" t="s">
        <v>3028</v>
      </c>
    </row>
    <row r="48" customFormat="false" ht="58.2" hidden="false" customHeight="false" outlineLevel="0" collapsed="false">
      <c r="A48" s="61" t="s">
        <v>3029</v>
      </c>
      <c r="B48" s="5" t="s">
        <v>3030</v>
      </c>
      <c r="C48" s="6" t="s">
        <v>3031</v>
      </c>
      <c r="D48" s="125" t="n">
        <f aca="false">AL_DDaily</f>
        <v>16.48</v>
      </c>
      <c r="E48" s="115" t="n">
        <f aca="false">AL_DDaily</f>
        <v>16.48</v>
      </c>
      <c r="F48" s="115" t="n">
        <f aca="false">AL_DDaily</f>
        <v>16.48</v>
      </c>
      <c r="G48" s="61" t="s">
        <v>1309</v>
      </c>
      <c r="H48" s="5" t="s">
        <v>3015</v>
      </c>
      <c r="I48" s="5" t="s">
        <v>3032</v>
      </c>
      <c r="J48" s="5" t="s">
        <v>3033</v>
      </c>
      <c r="K48" s="5" t="s">
        <v>2950</v>
      </c>
      <c r="L48" s="61" t="s">
        <v>3034</v>
      </c>
      <c r="M48" s="94" t="n">
        <f aca="false">SRC_DEM_013_Lo</f>
        <v>10</v>
      </c>
      <c r="N48" s="94" t="n">
        <f aca="false">SRC_DEM_013_Hi</f>
        <v>100</v>
      </c>
      <c r="O48" s="76" t="n">
        <f aca="false">IF(AND(ISNUMBER(D48),ISNUMBER(M48),ISNUMBER(N48)),D48/((M48+N48)/2),"—")</f>
        <v>0.299636363636364</v>
      </c>
      <c r="P48" s="60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61" t="s">
        <v>3029</v>
      </c>
      <c r="R48" s="61" t="s">
        <v>3035</v>
      </c>
      <c r="S48" s="6" t="s">
        <v>3036</v>
      </c>
    </row>
    <row r="49" customFormat="false" ht="143.25" hidden="false" customHeight="false" outlineLevel="0" collapsed="false">
      <c r="A49" s="61" t="s">
        <v>3037</v>
      </c>
      <c r="B49" s="5" t="s">
        <v>3038</v>
      </c>
      <c r="C49" s="6" t="s">
        <v>3039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5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5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61" t="s">
        <v>99</v>
      </c>
      <c r="H49" s="5" t="s">
        <v>3040</v>
      </c>
      <c r="I49" s="6" t="s">
        <v>3041</v>
      </c>
      <c r="J49" s="5" t="s">
        <v>3042</v>
      </c>
      <c r="K49" s="5" t="s">
        <v>2981</v>
      </c>
      <c r="L49" s="61" t="s">
        <v>3043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6" t="n">
        <f aca="false">IF(AND(ISNUMBER(D49),ISNUMBER(M49),ISNUMBER(N49)),D49/((M49+N49)/2),"—")</f>
        <v>2.67292107690825</v>
      </c>
      <c r="P49" s="60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61" t="s">
        <v>3037</v>
      </c>
      <c r="R49" s="61" t="s">
        <v>3044</v>
      </c>
      <c r="S49" s="5" t="s">
        <v>3045</v>
      </c>
    </row>
    <row r="50" customFormat="false" ht="69.4" hidden="false" customHeight="false" outlineLevel="0" collapsed="false">
      <c r="A50" s="61" t="s">
        <v>3046</v>
      </c>
      <c r="B50" s="5" t="s">
        <v>3047</v>
      </c>
      <c r="C50" s="6" t="s">
        <v>3039</v>
      </c>
      <c r="D50" s="125" t="n">
        <f aca="false">IF(AND(ISNUMBER(IF_PriceRef_Sol),ISNUMBER(INDEX(IF_FullCostDefault_Sol,1,11))),1-INDEX(IF_FullCostDefault_Sol,1,11)/IF_PriceRef_Sol,"—")</f>
        <v>0.919326156933809</v>
      </c>
      <c r="E50" s="115" t="n">
        <f aca="false">IF(AND(ISNUMBER(IF_PriceRef_Sol),ISNUMBER(INDEX(IF_FullCostDefault_Sol,1,12))),1-INDEX(IF_FullCostDefault_Sol,1,12)/IF_PriceRef_Sol,"—")</f>
        <v>0.86968458109121</v>
      </c>
      <c r="F50" s="115" t="n">
        <f aca="false">IF(AND(ISNUMBER(IF_PriceRef_Sol),ISNUMBER(INDEX(IF_FullCostDefault_Sol,1,10))),1-INDEX(IF_FullCostDefault_Sol,1,10)/IF_PriceRef_Sol,"—")</f>
        <v>0.937225740488179</v>
      </c>
      <c r="G50" s="61" t="s">
        <v>99</v>
      </c>
      <c r="H50" s="5" t="s">
        <v>3040</v>
      </c>
      <c r="I50" s="6" t="s">
        <v>3048</v>
      </c>
      <c r="J50" s="5" t="s">
        <v>3049</v>
      </c>
      <c r="K50" s="5" t="s">
        <v>2981</v>
      </c>
      <c r="L50" s="61" t="s">
        <v>620</v>
      </c>
      <c r="M50" s="115" t="s">
        <v>620</v>
      </c>
      <c r="N50" s="115" t="s">
        <v>620</v>
      </c>
      <c r="O50" s="76" t="str">
        <f aca="false">IF(AND(ISNUMBER(D50),ISNUMBER(M50),ISNUMBER(N50)),D50/((M50+N50)/2),"—")</f>
        <v>—</v>
      </c>
      <c r="P50" s="60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61" t="s">
        <v>3046</v>
      </c>
      <c r="R50" s="61" t="s">
        <v>3050</v>
      </c>
      <c r="S50" s="6" t="s">
        <v>620</v>
      </c>
    </row>
    <row r="51" customFormat="false" ht="44" hidden="false" customHeight="false" outlineLevel="0" collapsed="false">
      <c r="A51" s="61" t="s">
        <v>3051</v>
      </c>
      <c r="B51" s="5" t="s">
        <v>3052</v>
      </c>
      <c r="C51" s="5" t="s">
        <v>2985</v>
      </c>
      <c r="D51" s="125" t="n">
        <f aca="false">INDEX(IF_PostShareGPUh_Sol,1,AL_TrainCol)</f>
        <v>0.282310936548276</v>
      </c>
      <c r="E51" s="115" t="n">
        <f aca="false">INDEX(IF_PostShareGPUh_Sol,1,AL_TrainCol)</f>
        <v>0.282310936548276</v>
      </c>
      <c r="F51" s="115" t="n">
        <f aca="false">INDEX(IF_PostShareGPUh_Sol,1,AL_TrainCol)</f>
        <v>0.282310936548276</v>
      </c>
      <c r="G51" s="61" t="s">
        <v>99</v>
      </c>
      <c r="H51" s="5" t="s">
        <v>2986</v>
      </c>
      <c r="I51" s="6" t="s">
        <v>3053</v>
      </c>
      <c r="J51" s="6" t="s">
        <v>2988</v>
      </c>
      <c r="K51" s="6" t="s">
        <v>2904</v>
      </c>
      <c r="L51" s="61" t="s">
        <v>620</v>
      </c>
      <c r="M51" s="115" t="s">
        <v>620</v>
      </c>
      <c r="N51" s="115" t="s">
        <v>620</v>
      </c>
      <c r="O51" s="76" t="str">
        <f aca="false">IF(AND(ISNUMBER(D51),ISNUMBER(M51),ISNUMBER(N51)),D51/((M51+N51)/2),"—")</f>
        <v>—</v>
      </c>
      <c r="P51" s="60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61" t="s">
        <v>3051</v>
      </c>
      <c r="R51" s="61" t="s">
        <v>2989</v>
      </c>
      <c r="S51" s="6" t="s">
        <v>620</v>
      </c>
    </row>
    <row r="52" customFormat="false" ht="58.2" hidden="false" customHeight="false" outlineLevel="0" collapsed="false">
      <c r="A52" s="61" t="s">
        <v>3054</v>
      </c>
      <c r="B52" s="5" t="s">
        <v>3055</v>
      </c>
      <c r="C52" s="6" t="s">
        <v>3056</v>
      </c>
      <c r="D52" s="125" t="n">
        <f aca="false">IF(ISNUMBER(INDEX(IF_RevGWFleet,1,11)),INDEX(IF_HoldEcon,1,11)/(INDEX(IF_RevGWFleet,1,11)/IF_Util),AL_UnavailTxt)</f>
        <v>0.150548548387624</v>
      </c>
      <c r="E52" s="115" t="n">
        <f aca="false">IF(ISNUMBER(INDEX(IF_RevGWFleet,1,10)),INDEX(IF_HoldEcon,1,10)/(INDEX(IF_RevGWFleet,1,10)/IF_Util),AL_UnavailTxt)</f>
        <v>0.117134903981053</v>
      </c>
      <c r="F52" s="115" t="n">
        <f aca="false">IF(ISNUMBER(INDEX(IF_RevGWFleet,1,12)),INDEX(IF_HoldEcon,1,12)/(INDEX(IF_RevGWFleet,1,12)/IF_Util),AL_UnavailTxt)</f>
        <v>0.243215841900243</v>
      </c>
      <c r="G52" s="61" t="s">
        <v>103</v>
      </c>
      <c r="H52" s="5" t="s">
        <v>2783</v>
      </c>
      <c r="I52" s="6" t="s">
        <v>3057</v>
      </c>
      <c r="J52" s="5" t="s">
        <v>3058</v>
      </c>
      <c r="K52" s="5" t="s">
        <v>3059</v>
      </c>
      <c r="L52" s="61" t="s">
        <v>620</v>
      </c>
      <c r="M52" s="115" t="s">
        <v>620</v>
      </c>
      <c r="N52" s="115" t="s">
        <v>620</v>
      </c>
      <c r="O52" s="76" t="str">
        <f aca="false">IF(AND(ISNUMBER(D52),ISNUMBER(M52),ISNUMBER(N52)),D52/((M52+N52)/2),"—")</f>
        <v>—</v>
      </c>
      <c r="P52" s="60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61" t="s">
        <v>3054</v>
      </c>
      <c r="R52" s="61" t="s">
        <v>3060</v>
      </c>
      <c r="S52" s="6" t="s">
        <v>620</v>
      </c>
    </row>
    <row r="53" customFormat="false" ht="140.25" hidden="false" customHeight="false" outlineLevel="0" collapsed="false">
      <c r="A53" s="61" t="s">
        <v>3061</v>
      </c>
      <c r="B53" s="5" t="s">
        <v>3062</v>
      </c>
      <c r="C53" s="6" t="s">
        <v>3063</v>
      </c>
      <c r="D53" s="125" t="n">
        <f aca="false">IF(ISNUMBER(L1_FleetBreakeven),IF_Util*CTL_ProdDerate*CTL_PriceLife*CTL_Monetize/L1_FleetBreakeven,AL_UnavailTxt)</f>
        <v>3.38761154100855</v>
      </c>
      <c r="E53" s="115" t="n">
        <f aca="false">IF(ISNUMBER(L1_FleetBreakeven_Hi),IF_Util*CTL_ProdDerate*CTL_PriceLife*CTL_Monetize/L1_FleetBreakeven_Hi,AL_UnavailTxt)</f>
        <v>2.09690288270441</v>
      </c>
      <c r="F53" s="115" t="n">
        <f aca="false">IF(ISNUMBER(L1_FleetBreakeven_Lo),IF_Util*CTL_ProdDerate*CTL_PriceLife*CTL_Monetize/L1_FleetBreakeven_Lo,AL_UnavailTxt)</f>
        <v>4.35395413891743</v>
      </c>
      <c r="G53" s="61" t="s">
        <v>103</v>
      </c>
      <c r="H53" s="5" t="s">
        <v>3064</v>
      </c>
      <c r="I53" s="5" t="s">
        <v>3065</v>
      </c>
      <c r="J53" s="5" t="s">
        <v>3066</v>
      </c>
      <c r="K53" s="5" t="s">
        <v>3067</v>
      </c>
      <c r="L53" s="61" t="s">
        <v>620</v>
      </c>
      <c r="M53" s="115" t="s">
        <v>620</v>
      </c>
      <c r="N53" s="115" t="s">
        <v>620</v>
      </c>
      <c r="O53" s="76" t="str">
        <f aca="false">IF(AND(ISNUMBER(D53),ISNUMBER(M53),ISNUMBER(N53)),D53/((M53+N53)/2),"—")</f>
        <v>—</v>
      </c>
      <c r="P53" s="60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61" t="s">
        <v>3061</v>
      </c>
      <c r="R53" s="61" t="s">
        <v>3068</v>
      </c>
      <c r="S53" s="5" t="s">
        <v>3069</v>
      </c>
    </row>
    <row r="54" customFormat="false" ht="44" hidden="false" customHeight="false" outlineLevel="0" collapsed="false">
      <c r="A54" s="61" t="s">
        <v>3070</v>
      </c>
      <c r="B54" s="5" t="s">
        <v>3071</v>
      </c>
      <c r="C54" s="5" t="s">
        <v>3072</v>
      </c>
      <c r="D54" s="125" t="n">
        <f aca="false">L1_HoldEconGW_Hopper</f>
        <v>9.70308728611469</v>
      </c>
      <c r="E54" s="115" t="n">
        <f aca="false">L1_HoldEconGW_Hopper_Lo</f>
        <v>6.79107465326444</v>
      </c>
      <c r="F54" s="115" t="n">
        <f aca="false">L1_HoldEconGW_Hopper_Hi</f>
        <v>16.6637697337026</v>
      </c>
      <c r="G54" s="61" t="s">
        <v>3073</v>
      </c>
      <c r="H54" s="5" t="s">
        <v>2783</v>
      </c>
      <c r="I54" s="5" t="s">
        <v>3074</v>
      </c>
      <c r="J54" s="6" t="s">
        <v>3075</v>
      </c>
      <c r="K54" s="5" t="s">
        <v>2818</v>
      </c>
      <c r="L54" s="61" t="s">
        <v>620</v>
      </c>
      <c r="M54" s="115" t="s">
        <v>620</v>
      </c>
      <c r="N54" s="115" t="s">
        <v>620</v>
      </c>
      <c r="O54" s="76" t="str">
        <f aca="false">IF(AND(ISNUMBER(D54),ISNUMBER(M54),ISNUMBER(N54)),D54/((M54+N54)/2),"—")</f>
        <v>—</v>
      </c>
      <c r="P54" s="60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61" t="s">
        <v>3070</v>
      </c>
      <c r="R54" s="61" t="s">
        <v>3076</v>
      </c>
      <c r="S54" s="6" t="s">
        <v>620</v>
      </c>
    </row>
    <row r="55" customFormat="false" ht="44" hidden="false" customHeight="false" outlineLevel="0" collapsed="false">
      <c r="A55" s="61" t="s">
        <v>3077</v>
      </c>
      <c r="B55" s="5" t="s">
        <v>3078</v>
      </c>
      <c r="C55" s="5" t="s">
        <v>3072</v>
      </c>
      <c r="D55" s="125" t="n">
        <f aca="false">L1_HoldEconGW_GB200</f>
        <v>8.82816556596761</v>
      </c>
      <c r="E55" s="115" t="n">
        <f aca="false">L1_HoldEconGW_GB200_Lo</f>
        <v>6.6118162762144</v>
      </c>
      <c r="F55" s="115" t="n">
        <f aca="false">L1_HoldEconGW_GB200_Hi</f>
        <v>14.3185748619737</v>
      </c>
      <c r="G55" s="61" t="s">
        <v>3073</v>
      </c>
      <c r="H55" s="5" t="s">
        <v>2783</v>
      </c>
      <c r="I55" s="5" t="s">
        <v>3074</v>
      </c>
      <c r="J55" s="6" t="s">
        <v>3075</v>
      </c>
      <c r="K55" s="5" t="s">
        <v>2818</v>
      </c>
      <c r="L55" s="61" t="s">
        <v>620</v>
      </c>
      <c r="M55" s="115" t="s">
        <v>620</v>
      </c>
      <c r="N55" s="115" t="s">
        <v>620</v>
      </c>
      <c r="O55" s="76" t="str">
        <f aca="false">IF(AND(ISNUMBER(D55),ISNUMBER(M55),ISNUMBER(N55)),D55/((M55+N55)/2),"—")</f>
        <v>—</v>
      </c>
      <c r="P55" s="60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61" t="s">
        <v>3077</v>
      </c>
      <c r="R55" s="61" t="s">
        <v>3076</v>
      </c>
      <c r="S55" s="6" t="s">
        <v>620</v>
      </c>
    </row>
    <row r="56" customFormat="false" ht="100.7" hidden="false" customHeight="false" outlineLevel="0" collapsed="false">
      <c r="A56" s="61" t="s">
        <v>3079</v>
      </c>
      <c r="B56" s="5" t="s">
        <v>3080</v>
      </c>
      <c r="C56" s="5" t="s">
        <v>3072</v>
      </c>
      <c r="D56" s="125" t="n">
        <f aca="false">L1_HoldEconGW_GB300</f>
        <v>10.8864110021101</v>
      </c>
      <c r="E56" s="115" t="n">
        <f aca="false">L1_HoldEconGW_GB300_Lo</f>
        <v>8.42889912085495</v>
      </c>
      <c r="F56" s="115" t="n">
        <f aca="false">L1_HoldEconGW_GB300_Hi</f>
        <v>18.5346455040469</v>
      </c>
      <c r="G56" s="61" t="s">
        <v>3073</v>
      </c>
      <c r="H56" s="5" t="s">
        <v>2783</v>
      </c>
      <c r="I56" s="5" t="s">
        <v>3081</v>
      </c>
      <c r="J56" s="6" t="s">
        <v>3075</v>
      </c>
      <c r="K56" s="5" t="s">
        <v>2818</v>
      </c>
      <c r="L56" s="61" t="s">
        <v>620</v>
      </c>
      <c r="M56" s="115" t="s">
        <v>620</v>
      </c>
      <c r="N56" s="115" t="s">
        <v>620</v>
      </c>
      <c r="O56" s="76" t="str">
        <f aca="false">IF(AND(ISNUMBER(D56),ISNUMBER(M56),ISNUMBER(N56)),D56/((M56+N56)/2),"—")</f>
        <v>—</v>
      </c>
      <c r="P56" s="60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61" t="s">
        <v>3079</v>
      </c>
      <c r="R56" s="61" t="s">
        <v>3076</v>
      </c>
      <c r="S56" s="5" t="s">
        <v>3082</v>
      </c>
    </row>
    <row r="57" customFormat="false" ht="44" hidden="false" customHeight="false" outlineLevel="0" collapsed="false">
      <c r="A57" s="61" t="s">
        <v>3083</v>
      </c>
      <c r="B57" s="5" t="s">
        <v>3084</v>
      </c>
      <c r="C57" s="5" t="s">
        <v>3072</v>
      </c>
      <c r="D57" s="125" t="n">
        <f aca="false">L1_HoldEconGW_VR200</f>
        <v>12.2254710045841</v>
      </c>
      <c r="E57" s="115" t="n">
        <f aca="false">L1_HoldEconGW_VR200_Lo</f>
        <v>9.51207691858967</v>
      </c>
      <c r="F57" s="115" t="n">
        <f aca="false">L1_HoldEconGW_VR200_Hi</f>
        <v>19.7506269894487</v>
      </c>
      <c r="G57" s="61" t="s">
        <v>3073</v>
      </c>
      <c r="H57" s="5" t="s">
        <v>2783</v>
      </c>
      <c r="I57" s="5" t="s">
        <v>3074</v>
      </c>
      <c r="J57" s="6" t="s">
        <v>3075</v>
      </c>
      <c r="K57" s="5" t="s">
        <v>2818</v>
      </c>
      <c r="L57" s="61" t="s">
        <v>620</v>
      </c>
      <c r="M57" s="115" t="s">
        <v>620</v>
      </c>
      <c r="N57" s="115" t="s">
        <v>620</v>
      </c>
      <c r="O57" s="76" t="str">
        <f aca="false">IF(AND(ISNUMBER(D57),ISNUMBER(M57),ISNUMBER(N57)),D57/((M57+N57)/2),"—")</f>
        <v>—</v>
      </c>
      <c r="P57" s="60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61" t="s">
        <v>3083</v>
      </c>
      <c r="R57" s="61" t="s">
        <v>3076</v>
      </c>
      <c r="S57" s="6" t="s">
        <v>620</v>
      </c>
    </row>
    <row r="58" customFormat="false" ht="69.4" hidden="false" customHeight="false" outlineLevel="0" collapsed="false">
      <c r="A58" s="61" t="s">
        <v>3085</v>
      </c>
      <c r="B58" s="5" t="s">
        <v>3086</v>
      </c>
      <c r="C58" s="5" t="s">
        <v>3087</v>
      </c>
      <c r="D58" s="125" t="n">
        <f aca="false">IF(ISNUMBER(INDEX(IF_TokGW_Sol,1,2)),IF(INDEX(IF_TokGW_Sol,1,2)&gt;0,INDEX(IF_TokGW_Sol,1,5)/INDEX(IF_TokGW_Sol,1,2),AL_UnavailTxt),AL_UnavailTxt)</f>
        <v>5.59915960254671</v>
      </c>
      <c r="E58" s="115" t="n">
        <f aca="false">IF(ISNUMBER(INDEX(IF_TokGW_Sol,1,2)),IF(INDEX(IF_TokGW_Sol,1,2)&gt;0,INDEX(IF_TokGW_Sol,1,5)/INDEX(IF_TokGW_Sol,1,2),AL_UnavailTxt),AL_UnavailTxt)</f>
        <v>5.59915960254671</v>
      </c>
      <c r="F58" s="115" t="n">
        <f aca="false">IF(ISNUMBER(INDEX(IF_TokGW_Sol,1,2)),IF(INDEX(IF_TokGW_Sol,1,2)&gt;0,INDEX(IF_TokGW_Sol,1,5)/INDEX(IF_TokGW_Sol,1,2),AL_UnavailTxt),AL_UnavailTxt)</f>
        <v>5.59915960254671</v>
      </c>
      <c r="G58" s="61" t="s">
        <v>103</v>
      </c>
      <c r="H58" s="5" t="s">
        <v>3088</v>
      </c>
      <c r="I58" s="5" t="s">
        <v>3089</v>
      </c>
      <c r="J58" s="6" t="s">
        <v>3090</v>
      </c>
      <c r="K58" s="6" t="s">
        <v>3091</v>
      </c>
      <c r="L58" s="61" t="s">
        <v>620</v>
      </c>
      <c r="M58" s="115" t="s">
        <v>620</v>
      </c>
      <c r="N58" s="115" t="s">
        <v>620</v>
      </c>
      <c r="O58" s="76" t="str">
        <f aca="false">IF(AND(ISNUMBER(D58),ISNUMBER(M58),ISNUMBER(N58)),D58/((M58+N58)/2),"—")</f>
        <v>—</v>
      </c>
      <c r="P58" s="60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61" t="s">
        <v>3085</v>
      </c>
      <c r="R58" s="61" t="s">
        <v>3092</v>
      </c>
      <c r="S58" s="6" t="s">
        <v>3093</v>
      </c>
    </row>
    <row r="59" customFormat="false" ht="72.35" hidden="false" customHeight="false" outlineLevel="0" collapsed="false">
      <c r="A59" s="61" t="s">
        <v>3094</v>
      </c>
      <c r="B59" s="5" t="s">
        <v>3095</v>
      </c>
      <c r="C59" s="5" t="s">
        <v>3087</v>
      </c>
      <c r="D59" s="125" t="n">
        <f aca="false">IF(ISNUMBER(INDEX(IF_TokGW_Sol,1,5)),IF(INDEX(IF_TokGW_Sol,1,5)&gt;0,INDEX(IF_TokGW_Sol,1,8)/INDEX(IF_TokGW_Sol,1,5),AL_UnavailTxt),AL_UnavailTxt)</f>
        <v>1.45587602238485</v>
      </c>
      <c r="E59" s="115" t="n">
        <f aca="false">IF(ISNUMBER(INDEX(IF_TokGW_Sol,1,5)),IF(INDEX(IF_TokGW_Sol,1,5)&gt;0,INDEX(IF_TokGW_Sol,1,8)/INDEX(IF_TokGW_Sol,1,5),AL_UnavailTxt),AL_UnavailTxt)</f>
        <v>1.45587602238485</v>
      </c>
      <c r="F59" s="115" t="n">
        <f aca="false">IF(ISNUMBER(INDEX(IF_TokGW_Sol,1,5)),IF(INDEX(IF_TokGW_Sol,1,5)&gt;0,INDEX(IF_TokGW_Sol,1,8)/INDEX(IF_TokGW_Sol,1,5),AL_UnavailTxt),AL_UnavailTxt)</f>
        <v>1.45587602238485</v>
      </c>
      <c r="G59" s="61" t="s">
        <v>103</v>
      </c>
      <c r="H59" s="5" t="s">
        <v>3088</v>
      </c>
      <c r="I59" s="5" t="s">
        <v>3089</v>
      </c>
      <c r="J59" s="6" t="s">
        <v>3090</v>
      </c>
      <c r="K59" s="6" t="s">
        <v>3091</v>
      </c>
      <c r="L59" s="61" t="s">
        <v>3096</v>
      </c>
      <c r="M59" s="94" t="n">
        <f aca="false">SRC_PERF_024/SRC_PERF_025</f>
        <v>1.04292645577943</v>
      </c>
      <c r="N59" s="94" t="n">
        <f aca="false">SRC_PERF_024/SRC_PERF_025</f>
        <v>1.04292645577943</v>
      </c>
      <c r="O59" s="76" t="n">
        <f aca="false">IF(AND(ISNUMBER(D59),ISNUMBER(M59),ISNUMBER(N59)),D59/((M59+N59)/2),"—")</f>
        <v>1.39595271969279</v>
      </c>
      <c r="P59" s="60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61" t="s">
        <v>3094</v>
      </c>
      <c r="R59" s="61" t="s">
        <v>3092</v>
      </c>
      <c r="S59" s="5" t="s">
        <v>3097</v>
      </c>
    </row>
    <row r="60" customFormat="false" ht="72.35" hidden="false" customHeight="false" outlineLevel="0" collapsed="false">
      <c r="A60" s="61" t="s">
        <v>3098</v>
      </c>
      <c r="B60" s="5" t="s">
        <v>3099</v>
      </c>
      <c r="C60" s="5" t="s">
        <v>3087</v>
      </c>
      <c r="D60" s="125" t="n">
        <f aca="false">IF(ISNUMBER(INDEX(IF_TokGW_Sol,1,8)),IF(INDEX(IF_TokGW_Sol,1,8)&gt;0,INDEX(IF_TokGW_Sol,1,11)/INDEX(IF_TokGW_Sol,1,8),AL_UnavailTxt),AL_UnavailTxt)</f>
        <v>1.56528522129431</v>
      </c>
      <c r="E60" s="94" t="n">
        <f aca="false">IF(ISNUMBER(Sens_Perf!$F$98),IF(Sens_Perf!$F$98&gt;0,Sens_Perf!$E$98/Sens_Perf!$F$98,AL_UnavailTxt),AL_UnavailTxt)</f>
        <v>0.915334889924169</v>
      </c>
      <c r="F60" s="94" t="n">
        <f aca="false">IF(ISNUMBER(Sens_Perf!$H$98),IF(Sens_Perf!$H$98&gt;0,Sens_Perf!$G$98/Sens_Perf!$H$98,AL_UnavailTxt),AL_UnavailTxt)</f>
        <v>2.0506531956019</v>
      </c>
      <c r="G60" s="61" t="s">
        <v>103</v>
      </c>
      <c r="H60" s="6" t="s">
        <v>3100</v>
      </c>
      <c r="I60" s="5" t="s">
        <v>3089</v>
      </c>
      <c r="J60" s="6" t="s">
        <v>3090</v>
      </c>
      <c r="K60" s="6" t="s">
        <v>3091</v>
      </c>
      <c r="L60" s="61" t="s">
        <v>3101</v>
      </c>
      <c r="M60" s="94" t="n">
        <f aca="false">SRC_PERF_027/SRC_PERF_028</f>
        <v>2.5748897461993</v>
      </c>
      <c r="N60" s="94" t="n">
        <f aca="false">SRC_PERF_027/SRC_PERF_028</f>
        <v>2.5748897461993</v>
      </c>
      <c r="O60" s="76" t="n">
        <f aca="false">IF(AND(ISNUMBER(D60),ISNUMBER(M60),ISNUMBER(N60)),D60/((M60+N60)/2),"—")</f>
        <v>0.607903784464855</v>
      </c>
      <c r="P60" s="60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61" t="s">
        <v>3098</v>
      </c>
      <c r="R60" s="61" t="s">
        <v>3092</v>
      </c>
      <c r="S60" s="5" t="s">
        <v>3097</v>
      </c>
    </row>
    <row r="61" customFormat="false" ht="44" hidden="false" customHeight="false" outlineLevel="0" collapsed="false">
      <c r="A61" s="61" t="s">
        <v>3102</v>
      </c>
      <c r="B61" s="6" t="s">
        <v>3103</v>
      </c>
      <c r="C61" s="6" t="s">
        <v>3104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E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F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G61" s="61" t="s">
        <v>103</v>
      </c>
      <c r="H61" s="5" t="s">
        <v>3105</v>
      </c>
      <c r="I61" s="6" t="s">
        <v>3106</v>
      </c>
      <c r="J61" s="6" t="s">
        <v>3107</v>
      </c>
      <c r="K61" s="6" t="s">
        <v>3002</v>
      </c>
      <c r="L61" s="61" t="s">
        <v>3108</v>
      </c>
      <c r="M61" s="94" t="n">
        <f aca="false">SRC_HAR_006/SRC_HAR_004</f>
        <v>0.664112192505173</v>
      </c>
      <c r="N61" s="94" t="n">
        <f aca="false">SRC_HAR_006/SRC_HAR_004</f>
        <v>0.664112192505173</v>
      </c>
      <c r="O61" s="76" t="n">
        <f aca="false">IF(AND(ISNUMBER(D61),ISNUMBER(M61),ISNUMBER(N61)),D61/((M61+N61)/2),"—")</f>
        <v>2.19050058888113</v>
      </c>
      <c r="P61" s="60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61" t="s">
        <v>3102</v>
      </c>
      <c r="R61" s="61" t="s">
        <v>3109</v>
      </c>
      <c r="S61" s="5" t="s">
        <v>3110</v>
      </c>
    </row>
    <row r="62" customFormat="false" ht="44" hidden="false" customHeight="false" outlineLevel="0" collapsed="false">
      <c r="A62" s="61" t="s">
        <v>3111</v>
      </c>
      <c r="B62" s="6" t="s">
        <v>3112</v>
      </c>
      <c r="C62" s="6" t="s">
        <v>3113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E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F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G62" s="61" t="s">
        <v>103</v>
      </c>
      <c r="H62" s="5" t="s">
        <v>3105</v>
      </c>
      <c r="I62" s="6" t="s">
        <v>3106</v>
      </c>
      <c r="J62" s="6" t="s">
        <v>3107</v>
      </c>
      <c r="K62" s="6" t="s">
        <v>3002</v>
      </c>
      <c r="L62" s="61" t="s">
        <v>3108</v>
      </c>
      <c r="M62" s="94" t="n">
        <f aca="false">SRC_HAR_006/SRC_HAR_004</f>
        <v>0.664112192505173</v>
      </c>
      <c r="N62" s="94" t="n">
        <f aca="false">SRC_HAR_006/SRC_HAR_004</f>
        <v>0.664112192505173</v>
      </c>
      <c r="O62" s="76" t="n">
        <f aca="false">IF(AND(ISNUMBER(D62),ISNUMBER(M62),ISNUMBER(N62)),D62/((M62+N62)/2),"—")</f>
        <v>2.19050058888113</v>
      </c>
      <c r="P62" s="60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61" t="s">
        <v>3111</v>
      </c>
      <c r="R62" s="61" t="s">
        <v>3109</v>
      </c>
      <c r="S62" s="5" t="s">
        <v>3110</v>
      </c>
    </row>
    <row r="63" customFormat="false" ht="44" hidden="false" customHeight="false" outlineLevel="0" collapsed="false">
      <c r="A63" s="61" t="s">
        <v>3114</v>
      </c>
      <c r="B63" s="6" t="s">
        <v>3115</v>
      </c>
      <c r="C63" s="6" t="s">
        <v>3116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E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F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G63" s="61" t="s">
        <v>103</v>
      </c>
      <c r="H63" s="5" t="s">
        <v>3105</v>
      </c>
      <c r="I63" s="6" t="s">
        <v>3106</v>
      </c>
      <c r="J63" s="6" t="s">
        <v>3107</v>
      </c>
      <c r="K63" s="6" t="s">
        <v>3002</v>
      </c>
      <c r="L63" s="61" t="s">
        <v>3108</v>
      </c>
      <c r="M63" s="94" t="n">
        <f aca="false">SRC_HAR_006/SRC_HAR_004</f>
        <v>0.664112192505173</v>
      </c>
      <c r="N63" s="94" t="n">
        <f aca="false">SRC_HAR_006/SRC_HAR_004</f>
        <v>0.664112192505173</v>
      </c>
      <c r="O63" s="76" t="n">
        <f aca="false">IF(AND(ISNUMBER(D63),ISNUMBER(M63),ISNUMBER(N63)),D63/((M63+N63)/2),"—")</f>
        <v>1.32602263248315</v>
      </c>
      <c r="P63" s="60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61" t="s">
        <v>3114</v>
      </c>
      <c r="R63" s="61" t="s">
        <v>3109</v>
      </c>
      <c r="S63" s="5" t="s">
        <v>3110</v>
      </c>
    </row>
    <row r="64" customFormat="false" ht="44" hidden="false" customHeight="false" outlineLevel="0" collapsed="false">
      <c r="A64" s="61" t="s">
        <v>3117</v>
      </c>
      <c r="B64" s="6" t="s">
        <v>3118</v>
      </c>
      <c r="C64" s="6" t="s">
        <v>3119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E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F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G64" s="61" t="s">
        <v>103</v>
      </c>
      <c r="H64" s="5" t="s">
        <v>3105</v>
      </c>
      <c r="I64" s="6" t="s">
        <v>3106</v>
      </c>
      <c r="J64" s="6" t="s">
        <v>3107</v>
      </c>
      <c r="K64" s="6" t="s">
        <v>3002</v>
      </c>
      <c r="L64" s="61" t="s">
        <v>3108</v>
      </c>
      <c r="M64" s="94" t="n">
        <f aca="false">SRC_HAR_006/SRC_HAR_004</f>
        <v>0.664112192505173</v>
      </c>
      <c r="N64" s="94" t="n">
        <f aca="false">SRC_HAR_006/SRC_HAR_004</f>
        <v>0.664112192505173</v>
      </c>
      <c r="O64" s="76" t="n">
        <f aca="false">IF(AND(ISNUMBER(D64),ISNUMBER(M64),ISNUMBER(N64)),D64/((M64+N64)/2),"—")</f>
        <v>1.202687309634</v>
      </c>
      <c r="P64" s="60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61" t="s">
        <v>3117</v>
      </c>
      <c r="R64" s="61" t="s">
        <v>3109</v>
      </c>
      <c r="S64" s="5" t="s">
        <v>3110</v>
      </c>
    </row>
    <row r="65" customFormat="false" ht="44" hidden="false" customHeight="false" outlineLevel="0" collapsed="false">
      <c r="A65" s="61" t="s">
        <v>3120</v>
      </c>
      <c r="B65" s="6" t="s">
        <v>3121</v>
      </c>
      <c r="C65" s="6" t="s">
        <v>3122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0.697395367748579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0.591972757215755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1.93660453936101</v>
      </c>
      <c r="G65" s="61" t="s">
        <v>103</v>
      </c>
      <c r="H65" s="6" t="s">
        <v>3123</v>
      </c>
      <c r="I65" s="6" t="s">
        <v>3106</v>
      </c>
      <c r="J65" s="6" t="s">
        <v>3107</v>
      </c>
      <c r="K65" s="6" t="s">
        <v>3002</v>
      </c>
      <c r="L65" s="61" t="s">
        <v>3108</v>
      </c>
      <c r="M65" s="94" t="n">
        <f aca="false">SRC_HAR_006/SRC_HAR_004</f>
        <v>0.664112192505173</v>
      </c>
      <c r="N65" s="94" t="n">
        <f aca="false">SRC_HAR_006/SRC_HAR_004</f>
        <v>0.664112192505173</v>
      </c>
      <c r="O65" s="76" t="n">
        <f aca="false">IF(AND(ISNUMBER(D65),ISNUMBER(M65),ISNUMBER(N65)),D65/((M65+N65)/2),"—")</f>
        <v>1.0501167959556</v>
      </c>
      <c r="P65" s="60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61" t="s">
        <v>3120</v>
      </c>
      <c r="R65" s="61" t="s">
        <v>3109</v>
      </c>
      <c r="S65" s="5" t="s">
        <v>3110</v>
      </c>
    </row>
    <row r="66" customFormat="false" ht="29.85" hidden="false" customHeight="false" outlineLevel="0" collapsed="false">
      <c r="A66" s="61" t="s">
        <v>3124</v>
      </c>
      <c r="B66" s="6" t="s">
        <v>3125</v>
      </c>
      <c r="C66" s="6" t="s">
        <v>3126</v>
      </c>
      <c r="D66" s="125" t="n">
        <f aca="false">SRC_MOD_055</f>
        <v>1.0001E+027</v>
      </c>
      <c r="E66" s="115" t="n">
        <f aca="false">SRC_MOD_055_Lo</f>
        <v>5E+026</v>
      </c>
      <c r="F66" s="115" t="n">
        <f aca="false">SRC_MOD_055_Hi</f>
        <v>2E+027</v>
      </c>
      <c r="G66" s="61" t="s">
        <v>314</v>
      </c>
      <c r="H66" s="6" t="s">
        <v>3127</v>
      </c>
      <c r="I66" s="5" t="s">
        <v>3128</v>
      </c>
      <c r="J66" s="6" t="s">
        <v>3129</v>
      </c>
      <c r="K66" s="6" t="s">
        <v>3130</v>
      </c>
      <c r="L66" s="61" t="s">
        <v>2941</v>
      </c>
      <c r="M66" s="94" t="n">
        <f aca="false">SRC_MOD_055</f>
        <v>1.0001E+027</v>
      </c>
      <c r="N66" s="94" t="n">
        <f aca="false">SRC_MOD_055</f>
        <v>1.0001E+027</v>
      </c>
      <c r="O66" s="76" t="n">
        <f aca="false">IF(AND(ISNUMBER(D66),ISNUMBER(M66),ISNUMBER(N66)),D66/((M66+N66)/2),"—")</f>
        <v>1</v>
      </c>
      <c r="P66" s="60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61" t="s">
        <v>3124</v>
      </c>
      <c r="R66" s="61" t="s">
        <v>3131</v>
      </c>
      <c r="S66" s="6" t="s">
        <v>620</v>
      </c>
    </row>
    <row r="67" customFormat="false" ht="29.85" hidden="false" customHeight="false" outlineLevel="0" collapsed="false">
      <c r="A67" s="61" t="s">
        <v>3132</v>
      </c>
      <c r="B67" s="6" t="s">
        <v>3133</v>
      </c>
      <c r="C67" s="6" t="s">
        <v>3134</v>
      </c>
      <c r="D67" s="125" t="n">
        <f aca="false">L1_PretrainFLOP_Astra_Ext/L1_PretrainFLOP_Astra</f>
        <v>14.6162424528429</v>
      </c>
      <c r="E67" s="115" t="n">
        <f aca="false">L1_PretrainFLOP_Astra_Ext_Lo/L1_PretrainFLOP_Astra</f>
        <v>7.30739048737272</v>
      </c>
      <c r="F67" s="115" t="n">
        <f aca="false">L1_PretrainFLOP_Astra_Ext_Hi/L1_PretrainFLOP_Astra</f>
        <v>29.2295619494909</v>
      </c>
      <c r="G67" s="61" t="s">
        <v>103</v>
      </c>
      <c r="H67" s="5" t="s">
        <v>3135</v>
      </c>
      <c r="I67" s="5" t="s">
        <v>3136</v>
      </c>
      <c r="J67" s="6" t="s">
        <v>2939</v>
      </c>
      <c r="K67" s="6" t="s">
        <v>2940</v>
      </c>
      <c r="L67" s="61" t="s">
        <v>620</v>
      </c>
      <c r="M67" s="115" t="s">
        <v>620</v>
      </c>
      <c r="N67" s="115" t="s">
        <v>620</v>
      </c>
      <c r="O67" s="76" t="str">
        <f aca="false">IF(AND(ISNUMBER(D67),ISNUMBER(M67),ISNUMBER(N67)),D67/((M67+N67)/2),"—")</f>
        <v>—</v>
      </c>
      <c r="P67" s="60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61" t="s">
        <v>3132</v>
      </c>
      <c r="R67" s="61" t="s">
        <v>3137</v>
      </c>
      <c r="S67" s="6" t="s">
        <v>620</v>
      </c>
    </row>
    <row r="68" customFormat="false" ht="44" hidden="false" customHeight="false" outlineLevel="0" collapsed="false">
      <c r="A68" s="61" t="s">
        <v>3138</v>
      </c>
      <c r="B68" s="5" t="s">
        <v>3139</v>
      </c>
      <c r="C68" s="6" t="s">
        <v>3140</v>
      </c>
      <c r="D68" s="125" t="n">
        <f aca="false">IF(ISNUMBER(L1_Ans3),SRC_DEM_006/L1_Ans3,"—")</f>
        <v>10.8238460955414</v>
      </c>
      <c r="E68" s="115" t="n">
        <f aca="false">IF(ISNUMBER(L1_Ans3_Hi),SRC_DEM_006/L1_Ans3_Hi,"—")</f>
        <v>1.54626372793448</v>
      </c>
      <c r="F68" s="115" t="n">
        <f aca="false">IF(ISNUMBER(L1_Ans3_Lo),SRC_DEM_006/L1_Ans3_Lo,"—")</f>
        <v>21.6476921910827</v>
      </c>
      <c r="G68" s="61" t="s">
        <v>103</v>
      </c>
      <c r="H68" s="5" t="s">
        <v>3141</v>
      </c>
      <c r="I68" s="5" t="s">
        <v>3142</v>
      </c>
      <c r="J68" s="6" t="s">
        <v>2965</v>
      </c>
      <c r="K68" s="5" t="s">
        <v>2966</v>
      </c>
      <c r="L68" s="61" t="s">
        <v>3143</v>
      </c>
      <c r="M68" s="115" t="s">
        <v>620</v>
      </c>
      <c r="N68" s="115" t="s">
        <v>620</v>
      </c>
      <c r="O68" s="76" t="str">
        <f aca="false">IF(AND(ISNUMBER(D68),ISNUMBER(M68),ISNUMBER(N68)),D68/((M68+N68)/2),"—")</f>
        <v>—</v>
      </c>
      <c r="P68" s="60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61" t="s">
        <v>3138</v>
      </c>
      <c r="R68" s="61" t="s">
        <v>3144</v>
      </c>
      <c r="S68" s="5" t="s">
        <v>3145</v>
      </c>
    </row>
    <row r="69" customFormat="false" ht="44" hidden="false" customHeight="false" outlineLevel="0" collapsed="false">
      <c r="A69" s="61" t="s">
        <v>3146</v>
      </c>
      <c r="B69" s="5" t="s">
        <v>3147</v>
      </c>
      <c r="C69" s="6" t="s">
        <v>3140</v>
      </c>
      <c r="D69" s="125" t="n">
        <f aca="false">IF(AND(ISNUMBER(AL_ServeGW),ISNUMBER(AL_ServeGWSpend)),AL_ServeGWSpend/AL_ServeGW,AL_UnavailTxt)</f>
        <v>5.67049906281719</v>
      </c>
      <c r="E69" s="94" t="n">
        <f aca="false">IF(AND(ISNUMBER(Alloc!$Q$89),ISNUMBER(AL_ServeGWSpend)),AL_ServeGWSpend/Alloc!$Q$89,AL_UnavailTxt)</f>
        <v>3.08587980159694</v>
      </c>
      <c r="F69" s="94" t="n">
        <f aca="false">IF(AND(ISNUMBER(Alloc!$Q$88),ISNUMBER(AL_ServeGWSpend)),AL_ServeGWSpend/Alloc!$Q$88,AL_UnavailTxt)</f>
        <v>7.45435402551671</v>
      </c>
      <c r="G69" s="61" t="s">
        <v>103</v>
      </c>
      <c r="H69" s="5" t="s">
        <v>3148</v>
      </c>
      <c r="I69" s="5" t="s">
        <v>3149</v>
      </c>
      <c r="J69" s="5" t="s">
        <v>3150</v>
      </c>
      <c r="K69" s="5" t="s">
        <v>3151</v>
      </c>
      <c r="L69" s="61" t="s">
        <v>3152</v>
      </c>
      <c r="M69" s="115" t="s">
        <v>620</v>
      </c>
      <c r="N69" s="115" t="s">
        <v>620</v>
      </c>
      <c r="O69" s="76" t="str">
        <f aca="false">IF(AND(ISNUMBER(D69),ISNUMBER(M69),ISNUMBER(N69)),D69/((M69+N69)/2),"—")</f>
        <v>—</v>
      </c>
      <c r="P69" s="60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61" t="s">
        <v>3146</v>
      </c>
      <c r="R69" s="61" t="s">
        <v>3153</v>
      </c>
      <c r="S69" s="5" t="s">
        <v>3145</v>
      </c>
    </row>
    <row r="70" customFormat="false" ht="199.95" hidden="false" customHeight="false" outlineLevel="0" collapsed="false">
      <c r="A70" s="61" t="s">
        <v>3154</v>
      </c>
      <c r="B70" s="5" t="s">
        <v>3155</v>
      </c>
      <c r="C70" s="6" t="s">
        <v>3156</v>
      </c>
      <c r="D70" s="116" t="n">
        <f aca="false">Cap_In!$C$251</f>
        <v>1.31458517900068</v>
      </c>
      <c r="E70" s="94" t="n">
        <f aca="false">Cap_In!$D$251</f>
        <v>1</v>
      </c>
      <c r="F70" s="94" t="n">
        <f aca="false">Cap_In!$E$251</f>
        <v>2.41563330550305</v>
      </c>
      <c r="G70" s="61" t="s">
        <v>103</v>
      </c>
      <c r="H70" s="5" t="s">
        <v>3157</v>
      </c>
      <c r="I70" s="5" t="s">
        <v>3158</v>
      </c>
      <c r="J70" s="5" t="s">
        <v>2178</v>
      </c>
      <c r="K70" s="5" t="s">
        <v>3159</v>
      </c>
      <c r="L70" s="61" t="s">
        <v>3160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6" t="n">
        <f aca="false">IF(AND(ISNUMBER(D70),ISNUMBER(M70),ISNUMBER(N70)),D70/((M70+N70)/2),"—")</f>
        <v>0.410807868437711</v>
      </c>
      <c r="P70" s="60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61" t="s">
        <v>3154</v>
      </c>
      <c r="R70" s="61" t="s">
        <v>3161</v>
      </c>
      <c r="S70" s="6" t="s">
        <v>620</v>
      </c>
    </row>
    <row r="71" customFormat="false" ht="114.9" hidden="false" customHeight="false" outlineLevel="0" collapsed="false">
      <c r="A71" s="61" t="s">
        <v>3162</v>
      </c>
      <c r="B71" s="5" t="s">
        <v>3163</v>
      </c>
      <c r="C71" s="6" t="s">
        <v>3164</v>
      </c>
      <c r="D71" s="125" t="n">
        <f aca="false">AL_SpendBasis</f>
        <v>0.85</v>
      </c>
      <c r="E71" s="115" t="n">
        <f aca="false">AL_SpendBasis_Lo</f>
        <v>0.73</v>
      </c>
      <c r="F71" s="115" t="n">
        <f aca="false">AL_SpendBasis_Hi</f>
        <v>1.17</v>
      </c>
      <c r="G71" s="61" t="s">
        <v>103</v>
      </c>
      <c r="H71" s="6" t="s">
        <v>3165</v>
      </c>
      <c r="I71" s="5" t="s">
        <v>3166</v>
      </c>
      <c r="J71" s="5" t="s">
        <v>3167</v>
      </c>
      <c r="K71" s="5" t="s">
        <v>3168</v>
      </c>
      <c r="L71" s="61" t="s">
        <v>620</v>
      </c>
      <c r="M71" s="115" t="s">
        <v>620</v>
      </c>
      <c r="N71" s="115" t="s">
        <v>620</v>
      </c>
      <c r="O71" s="76" t="str">
        <f aca="false">IF(AND(ISNUMBER(D71),ISNUMBER(M71),ISNUMBER(N71)),D71/((M71+N71)/2),"—")</f>
        <v>—</v>
      </c>
      <c r="P71" s="60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61" t="s">
        <v>3162</v>
      </c>
      <c r="R71" s="61" t="s">
        <v>3169</v>
      </c>
      <c r="S71" s="5" t="s">
        <v>3170</v>
      </c>
    </row>
    <row r="72" customFormat="false" ht="100.7" hidden="false" customHeight="false" outlineLevel="0" collapsed="false">
      <c r="A72" s="61" t="s">
        <v>3171</v>
      </c>
      <c r="B72" s="5" t="s">
        <v>3172</v>
      </c>
      <c r="C72" s="6" t="s">
        <v>3173</v>
      </c>
      <c r="D72" s="125" t="n">
        <f aca="false">1/AL_Kappa</f>
        <v>1</v>
      </c>
      <c r="E72" s="115" t="n">
        <f aca="false">1/AL_Kappa_Hi</f>
        <v>0.833333333333333</v>
      </c>
      <c r="F72" s="115" t="n">
        <f aca="false">1/AL_Kappa_Lo</f>
        <v>1.53846153846154</v>
      </c>
      <c r="G72" s="61" t="s">
        <v>103</v>
      </c>
      <c r="H72" s="5" t="s">
        <v>3174</v>
      </c>
      <c r="I72" s="5" t="s">
        <v>3175</v>
      </c>
      <c r="J72" s="5" t="s">
        <v>3176</v>
      </c>
      <c r="K72" s="6" t="s">
        <v>3177</v>
      </c>
      <c r="L72" s="61" t="s">
        <v>620</v>
      </c>
      <c r="M72" s="115" t="s">
        <v>620</v>
      </c>
      <c r="N72" s="115" t="s">
        <v>620</v>
      </c>
      <c r="O72" s="76" t="str">
        <f aca="false">IF(AND(ISNUMBER(D72),ISNUMBER(M72),ISNUMBER(N72)),D72/((M72+N72)/2),"—")</f>
        <v>—</v>
      </c>
      <c r="P72" s="60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61" t="s">
        <v>3171</v>
      </c>
      <c r="R72" s="61" t="s">
        <v>3178</v>
      </c>
      <c r="S72" s="6" t="s">
        <v>620</v>
      </c>
    </row>
    <row r="73" customFormat="false" ht="58.2" hidden="false" customHeight="false" outlineLevel="0" collapsed="false">
      <c r="A73" s="61" t="s">
        <v>3179</v>
      </c>
      <c r="B73" s="5" t="s">
        <v>3180</v>
      </c>
      <c r="C73" s="6" t="s">
        <v>3181</v>
      </c>
      <c r="D73" s="125" t="n">
        <f aca="false">IF_Util/AL_UtilActual</f>
        <v>1.46341463414634</v>
      </c>
      <c r="E73" s="115" t="n">
        <f aca="false">IF_Util/AL_UtilActual_Hi</f>
        <v>0.923076923076923</v>
      </c>
      <c r="F73" s="115" t="n">
        <f aca="false">IF_Util/AL_UtilActual_Lo</f>
        <v>2</v>
      </c>
      <c r="G73" s="61" t="s">
        <v>103</v>
      </c>
      <c r="H73" s="5" t="s">
        <v>3182</v>
      </c>
      <c r="I73" s="5" t="s">
        <v>3183</v>
      </c>
      <c r="J73" s="5" t="s">
        <v>3184</v>
      </c>
      <c r="K73" s="6" t="s">
        <v>3185</v>
      </c>
      <c r="L73" s="61" t="s">
        <v>3186</v>
      </c>
      <c r="M73" s="115" t="s">
        <v>620</v>
      </c>
      <c r="N73" s="115" t="s">
        <v>620</v>
      </c>
      <c r="O73" s="76" t="str">
        <f aca="false">IF(AND(ISNUMBER(D73),ISNUMBER(M73),ISNUMBER(N73)),D73/((M73+N73)/2),"—")</f>
        <v>—</v>
      </c>
      <c r="P73" s="60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61" t="s">
        <v>3179</v>
      </c>
      <c r="R73" s="61" t="s">
        <v>3187</v>
      </c>
      <c r="S73" s="6" t="s">
        <v>620</v>
      </c>
    </row>
    <row r="74" customFormat="false" ht="72.35" hidden="false" customHeight="false" outlineLevel="0" collapsed="false">
      <c r="A74" s="61" t="s">
        <v>3188</v>
      </c>
      <c r="B74" s="5" t="s">
        <v>3189</v>
      </c>
      <c r="C74" s="6" t="s">
        <v>3190</v>
      </c>
      <c r="D74" s="125" t="n">
        <f aca="false">IF(AND(ISNUMBER(L1_GapISL),ISNUMBER(L1_GapPrompt)),L1_GapPrompt*L1_GapSpendBasis*L1_GapISL*L1_GapUtil,AL_UnavailTxt)</f>
        <v>1.63521571046426</v>
      </c>
      <c r="E74" s="115" t="n">
        <f aca="false">IF(AND(ISNUMBER(L1_GapISL_Lo),ISNUMBER(L1_GapPrompt_Lo)),L1_GapPrompt_Lo*L1_GapSpendBasis_Lo*L1_GapISL_Lo*L1_GapUtil_Lo,AL_UnavailTxt)</f>
        <v>0.561538461538462</v>
      </c>
      <c r="F74" s="115" t="n">
        <f aca="false">IF(AND(ISNUMBER(L1_GapISL_Hi),ISNUMBER(L1_GapPrompt_Hi)),L1_GapPrompt_Hi*L1_GapSpendBasis_Hi*L1_GapISL_Hi*L1_GapUtil_Hi,AL_UnavailTxt)</f>
        <v>8.69627989981096</v>
      </c>
      <c r="G74" s="61" t="s">
        <v>103</v>
      </c>
      <c r="H74" s="5" t="s">
        <v>3191</v>
      </c>
      <c r="I74" s="5" t="s">
        <v>3192</v>
      </c>
      <c r="J74" s="5" t="s">
        <v>3193</v>
      </c>
      <c r="K74" s="5" t="s">
        <v>3194</v>
      </c>
      <c r="L74" s="61" t="s">
        <v>3195</v>
      </c>
      <c r="M74" s="94" t="n">
        <f aca="false">L1_ScaleServe2000</f>
        <v>7.45435402551671</v>
      </c>
      <c r="N74" s="94" t="n">
        <f aca="false">L1_ScaleServe2000</f>
        <v>7.45435402551671</v>
      </c>
      <c r="O74" s="76" t="n">
        <f aca="false">IF(AND(ISNUMBER(D74),ISNUMBER(M74),ISNUMBER(N74)),D74/((M74+N74)/2),"—")</f>
        <v>0.219363838216808</v>
      </c>
      <c r="P74" s="60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61" t="s">
        <v>3188</v>
      </c>
      <c r="R74" s="61" t="s">
        <v>3137</v>
      </c>
      <c r="S74" s="6" t="s">
        <v>620</v>
      </c>
    </row>
    <row r="75" customFormat="false" ht="58.2" hidden="false" customHeight="false" outlineLevel="0" collapsed="false">
      <c r="A75" s="61" t="s">
        <v>3196</v>
      </c>
      <c r="B75" s="5" t="s">
        <v>3197</v>
      </c>
      <c r="C75" s="5" t="s">
        <v>3198</v>
      </c>
      <c r="D75" s="125" t="n">
        <f aca="false">INDEX(IF_CapexIT,1,8)</f>
        <v>32.237224</v>
      </c>
      <c r="E75" s="115" t="n">
        <f aca="false">INDEX(IF_CapexIT,1,7)</f>
        <v>28.5549024</v>
      </c>
      <c r="F75" s="115" t="n">
        <f aca="false">INDEX(IF_CapexIT,1,9)</f>
        <v>39.2826064</v>
      </c>
      <c r="G75" s="61" t="s">
        <v>3199</v>
      </c>
      <c r="H75" s="5" t="s">
        <v>2783</v>
      </c>
      <c r="I75" s="6" t="s">
        <v>3200</v>
      </c>
      <c r="J75" s="5" t="s">
        <v>3201</v>
      </c>
      <c r="K75" s="5" t="s">
        <v>3202</v>
      </c>
      <c r="L75" s="61" t="s">
        <v>3203</v>
      </c>
      <c r="M75" s="94" t="n">
        <f aca="false">SRC_DC_014</f>
        <v>29</v>
      </c>
      <c r="N75" s="94" t="n">
        <f aca="false">SRC_DC_014</f>
        <v>29</v>
      </c>
      <c r="O75" s="76" t="n">
        <f aca="false">IF(AND(ISNUMBER(D75),ISNUMBER(M75),ISNUMBER(N75)),D75/((M75+N75)/2),"—")</f>
        <v>1.1116284137931</v>
      </c>
      <c r="P75" s="60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61" t="s">
        <v>3196</v>
      </c>
      <c r="R75" s="61" t="s">
        <v>3204</v>
      </c>
      <c r="S75" s="6" t="s">
        <v>3205</v>
      </c>
    </row>
    <row r="76" customFormat="false" ht="143.25" hidden="false" customHeight="false" outlineLevel="0" collapsed="false">
      <c r="A76" s="61" t="s">
        <v>3206</v>
      </c>
      <c r="B76" s="5" t="s">
        <v>3207</v>
      </c>
      <c r="C76" s="6" t="s">
        <v>3208</v>
      </c>
      <c r="D76" s="116" t="n">
        <f aca="false">Cap_In!$C$94</f>
        <v>1.74267221182383</v>
      </c>
      <c r="E76" s="94" t="n">
        <f aca="false">Cap_In!$D$94</f>
        <v>0.752315240563261</v>
      </c>
      <c r="F76" s="94" t="n">
        <f aca="false">Cap_In!$E$94</f>
        <v>2.95329960865358</v>
      </c>
      <c r="G76" s="61" t="s">
        <v>103</v>
      </c>
      <c r="H76" s="5" t="s">
        <v>3209</v>
      </c>
      <c r="I76" s="6" t="s">
        <v>3210</v>
      </c>
      <c r="J76" s="5" t="s">
        <v>3211</v>
      </c>
      <c r="K76" s="5" t="s">
        <v>3212</v>
      </c>
      <c r="L76" s="61" t="s">
        <v>3213</v>
      </c>
      <c r="M76" s="94" t="n">
        <f aca="false">CTL_Monetize</f>
        <v>1</v>
      </c>
      <c r="N76" s="94" t="n">
        <f aca="false">CTL_Monetize</f>
        <v>1</v>
      </c>
      <c r="O76" s="76" t="n">
        <f aca="false">IF(AND(ISNUMBER(D76),ISNUMBER(M76),ISNUMBER(N76)),D76/((M76+N76)/2),"—")</f>
        <v>1.74267221182383</v>
      </c>
      <c r="P76" s="60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1" t="s">
        <v>3206</v>
      </c>
      <c r="R76" s="61" t="s">
        <v>3214</v>
      </c>
      <c r="S76" s="5" t="s">
        <v>3215</v>
      </c>
    </row>
    <row r="77" customFormat="false" ht="143.25" hidden="false" customHeight="false" outlineLevel="0" collapsed="false">
      <c r="A77" s="61" t="s">
        <v>3216</v>
      </c>
      <c r="B77" s="5" t="s">
        <v>3217</v>
      </c>
      <c r="C77" s="6" t="s">
        <v>3218</v>
      </c>
      <c r="D77" s="116" t="n">
        <f aca="false">Cap_In!$C$97</f>
        <v>1.06950600886299</v>
      </c>
      <c r="E77" s="94" t="n">
        <f aca="false">Cap_In!$D$97</f>
        <v>0.338207495924328</v>
      </c>
      <c r="F77" s="94" t="n">
        <f aca="false">Cap_In!$E$97</f>
        <v>3.38207495924328</v>
      </c>
      <c r="G77" s="61" t="s">
        <v>103</v>
      </c>
      <c r="H77" s="6" t="s">
        <v>3219</v>
      </c>
      <c r="I77" s="5" t="s">
        <v>3220</v>
      </c>
      <c r="J77" s="6" t="s">
        <v>3221</v>
      </c>
      <c r="K77" s="6" t="s">
        <v>3222</v>
      </c>
      <c r="L77" s="61" t="s">
        <v>3213</v>
      </c>
      <c r="M77" s="94" t="n">
        <f aca="false">CTL_Monetize</f>
        <v>1</v>
      </c>
      <c r="N77" s="94" t="n">
        <f aca="false">CTL_Monetize</f>
        <v>1</v>
      </c>
      <c r="O77" s="76" t="n">
        <f aca="false">IF(AND(ISNUMBER(D77),ISNUMBER(M77),ISNUMBER(N77)),D77/((M77+N77)/2),"—")</f>
        <v>1.06950600886299</v>
      </c>
      <c r="P77" s="60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1" t="s">
        <v>3216</v>
      </c>
      <c r="R77" s="61" t="s">
        <v>3223</v>
      </c>
      <c r="S77" s="6" t="s">
        <v>3224</v>
      </c>
    </row>
    <row r="78" customFormat="false" ht="214.15" hidden="false" customHeight="false" outlineLevel="0" collapsed="false">
      <c r="A78" s="61" t="s">
        <v>3225</v>
      </c>
      <c r="B78" s="5" t="s">
        <v>3226</v>
      </c>
      <c r="C78" s="6" t="s">
        <v>3227</v>
      </c>
      <c r="D78" s="116" t="n">
        <f aca="false">Cap_In!$C$119</f>
        <v>0.556531436733727</v>
      </c>
      <c r="E78" s="94" t="n">
        <f aca="false">Cap_In!$D$119</f>
        <v>0.251236589765316</v>
      </c>
      <c r="F78" s="94" t="n">
        <f aca="false">Cap_In!$E$119</f>
        <v>1.61066745219408</v>
      </c>
      <c r="G78" s="61" t="s">
        <v>103</v>
      </c>
      <c r="H78" s="5" t="s">
        <v>3228</v>
      </c>
      <c r="I78" s="5" t="s">
        <v>3229</v>
      </c>
      <c r="J78" s="5" t="s">
        <v>3230</v>
      </c>
      <c r="K78" s="6" t="s">
        <v>3231</v>
      </c>
      <c r="L78" s="61" t="s">
        <v>3213</v>
      </c>
      <c r="M78" s="94" t="n">
        <f aca="false">CTL_Monetize</f>
        <v>1</v>
      </c>
      <c r="N78" s="94" t="n">
        <f aca="false">CTL_Monetize</f>
        <v>1</v>
      </c>
      <c r="O78" s="76" t="n">
        <f aca="false">IF(AND(ISNUMBER(D78),ISNUMBER(M78),ISNUMBER(N78)),D78/((M78+N78)/2),"—")</f>
        <v>0.556531436733727</v>
      </c>
      <c r="P78" s="60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1" t="s">
        <v>3225</v>
      </c>
      <c r="R78" s="61" t="s">
        <v>3232</v>
      </c>
      <c r="S78" s="5" t="s">
        <v>3233</v>
      </c>
    </row>
    <row r="79" customFormat="false" ht="143.25" hidden="false" customHeight="false" outlineLevel="0" collapsed="false">
      <c r="A79" s="61" t="s">
        <v>3234</v>
      </c>
      <c r="B79" s="5" t="s">
        <v>3235</v>
      </c>
      <c r="C79" s="6" t="s">
        <v>3236</v>
      </c>
      <c r="D79" s="116" t="n">
        <f aca="false">Cap_In!$C$118</f>
        <v>18923335146.6226</v>
      </c>
      <c r="E79" s="94" t="n">
        <f aca="false">Cap_In!$E$118</f>
        <v>8936019374.79403</v>
      </c>
      <c r="F79" s="94" t="n">
        <f aca="false">Cap_In!$D$118</f>
        <v>26440824451.4453</v>
      </c>
      <c r="G79" s="61" t="s">
        <v>799</v>
      </c>
      <c r="H79" s="5" t="s">
        <v>3237</v>
      </c>
      <c r="I79" s="5" t="s">
        <v>3238</v>
      </c>
      <c r="J79" s="5" t="s">
        <v>3239</v>
      </c>
      <c r="K79" s="6" t="s">
        <v>3240</v>
      </c>
      <c r="L79" s="61" t="s">
        <v>3241</v>
      </c>
      <c r="M79" s="94" t="n">
        <f aca="false">AL_DPaid</f>
        <v>3825200000</v>
      </c>
      <c r="N79" s="94" t="n">
        <f aca="false">AL_DPaid</f>
        <v>3825200000</v>
      </c>
      <c r="O79" s="76" t="n">
        <f aca="false">IF(AND(ISNUMBER(D79),ISNUMBER(M79),ISNUMBER(N79)),D79/((M79+N79)/2),"—")</f>
        <v>4.94701849488201</v>
      </c>
      <c r="P79" s="60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上限＝0.20（需求在上限內）</v>
      </c>
      <c r="Q79" s="61" t="s">
        <v>3234</v>
      </c>
      <c r="R79" s="61" t="s">
        <v>3242</v>
      </c>
      <c r="S79" s="5" t="s">
        <v>3243</v>
      </c>
    </row>
    <row r="80" customFormat="false" ht="143.25" hidden="false" customHeight="false" outlineLevel="0" collapsed="false">
      <c r="A80" s="61" t="s">
        <v>3244</v>
      </c>
      <c r="B80" s="5" t="s">
        <v>3245</v>
      </c>
      <c r="C80" s="6" t="s">
        <v>3246</v>
      </c>
      <c r="D80" s="116" t="n">
        <f aca="false">Cap_In!$C$144</f>
        <v>0.56367915987388</v>
      </c>
      <c r="E80" s="94" t="n">
        <f aca="false">MIN(Cap_In!$D$144,Cap_In!$E$144)</f>
        <v>0.105689842476353</v>
      </c>
      <c r="F80" s="94" t="n">
        <f aca="false">MAX(Cap_In!$D$144,Cap_In!$E$144)</f>
        <v>0.793639699561015</v>
      </c>
      <c r="G80" s="61" t="s">
        <v>103</v>
      </c>
      <c r="H80" s="5" t="s">
        <v>3247</v>
      </c>
      <c r="I80" s="6" t="s">
        <v>3248</v>
      </c>
      <c r="J80" s="5" t="s">
        <v>3249</v>
      </c>
      <c r="K80" s="5" t="s">
        <v>3250</v>
      </c>
      <c r="L80" s="61" t="s">
        <v>3213</v>
      </c>
      <c r="M80" s="94" t="n">
        <f aca="false">CTL_Monetize</f>
        <v>1</v>
      </c>
      <c r="N80" s="94" t="n">
        <f aca="false">CTL_Monetize</f>
        <v>1</v>
      </c>
      <c r="O80" s="76" t="n">
        <f aca="false">IF(AND(ISNUMBER(D80),ISNUMBER(M80),ISNUMBER(N80)),D80/((M80+N80)/2),"—")</f>
        <v>0.56367915987388</v>
      </c>
      <c r="P80" s="60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1" t="s">
        <v>3244</v>
      </c>
      <c r="R80" s="61" t="s">
        <v>3251</v>
      </c>
      <c r="S80" s="6" t="s">
        <v>3252</v>
      </c>
    </row>
    <row r="81" customFormat="false" ht="143.25" hidden="false" customHeight="false" outlineLevel="0" collapsed="false">
      <c r="A81" s="61" t="s">
        <v>3253</v>
      </c>
      <c r="B81" s="5" t="s">
        <v>3254</v>
      </c>
      <c r="C81" s="6" t="s">
        <v>3255</v>
      </c>
      <c r="D81" s="116" t="n">
        <f aca="false">Cap_In!$C$145</f>
        <v>4.26141444864653</v>
      </c>
      <c r="E81" s="94" t="n">
        <f aca="false">Cap_In!$D$145</f>
        <v>0.752774561423002</v>
      </c>
      <c r="F81" s="94" t="n">
        <f aca="false">Cap_In!$E$145</f>
        <v>24.9597131992154</v>
      </c>
      <c r="G81" s="61" t="s">
        <v>103</v>
      </c>
      <c r="H81" s="5" t="s">
        <v>3256</v>
      </c>
      <c r="I81" s="6" t="s">
        <v>3248</v>
      </c>
      <c r="J81" s="5" t="s">
        <v>3257</v>
      </c>
      <c r="K81" s="5" t="s">
        <v>3258</v>
      </c>
      <c r="L81" s="61" t="s">
        <v>3213</v>
      </c>
      <c r="M81" s="94" t="n">
        <f aca="false">CTL_Monetize</f>
        <v>1</v>
      </c>
      <c r="N81" s="94" t="n">
        <f aca="false">CTL_Monetize</f>
        <v>1</v>
      </c>
      <c r="O81" s="76" t="n">
        <f aca="false">IF(AND(ISNUMBER(D81),ISNUMBER(M81),ISNUMBER(N81)),D81/((M81+N81)/2),"—")</f>
        <v>4.26141444864653</v>
      </c>
      <c r="P81" s="60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1" t="s">
        <v>3253</v>
      </c>
      <c r="R81" s="61" t="s">
        <v>3259</v>
      </c>
      <c r="S81" s="6" t="s">
        <v>3260</v>
      </c>
    </row>
    <row r="82" customFormat="false" ht="143.25" hidden="false" customHeight="false" outlineLevel="0" collapsed="false">
      <c r="A82" s="61" t="s">
        <v>3261</v>
      </c>
      <c r="B82" s="5" t="s">
        <v>3262</v>
      </c>
      <c r="C82" s="6" t="s">
        <v>3263</v>
      </c>
      <c r="D82" s="116" t="n">
        <f aca="false">Cap_In!$C$146</f>
        <v>1.82632047799137</v>
      </c>
      <c r="E82" s="94" t="n">
        <f aca="false">MIN(Cap_In!$D$146,Cap_In!$E$146)</f>
        <v>0.553430447876173</v>
      </c>
      <c r="F82" s="94" t="n">
        <f aca="false">MAX(Cap_In!$D$146,Cap_In!$E$146)</f>
        <v>6.84870179246764</v>
      </c>
      <c r="G82" s="61" t="s">
        <v>103</v>
      </c>
      <c r="H82" s="5" t="s">
        <v>3264</v>
      </c>
      <c r="I82" s="6" t="s">
        <v>3248</v>
      </c>
      <c r="J82" s="5" t="s">
        <v>3265</v>
      </c>
      <c r="K82" s="5" t="s">
        <v>3266</v>
      </c>
      <c r="L82" s="61" t="s">
        <v>3213</v>
      </c>
      <c r="M82" s="94" t="n">
        <f aca="false">CTL_Monetize</f>
        <v>1</v>
      </c>
      <c r="N82" s="94" t="n">
        <f aca="false">CTL_Monetize</f>
        <v>1</v>
      </c>
      <c r="O82" s="76" t="n">
        <f aca="false">IF(AND(ISNUMBER(D82),ISNUMBER(M82),ISNUMBER(N82)),D82/((M82+N82)/2),"—")</f>
        <v>1.82632047799137</v>
      </c>
      <c r="P82" s="60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1" t="s">
        <v>3261</v>
      </c>
      <c r="R82" s="61" t="s">
        <v>3267</v>
      </c>
      <c r="S82" s="5" t="s">
        <v>3268</v>
      </c>
    </row>
    <row r="83" customFormat="false" ht="143.25" hidden="false" customHeight="false" outlineLevel="0" collapsed="false">
      <c r="A83" s="61" t="s">
        <v>3269</v>
      </c>
      <c r="B83" s="6" t="s">
        <v>3270</v>
      </c>
      <c r="C83" s="6" t="s">
        <v>3271</v>
      </c>
      <c r="D83" s="116" t="n">
        <f aca="false">Cap_In!$C$151</f>
        <v>0.56367915987388</v>
      </c>
      <c r="E83" s="94" t="n">
        <f aca="false">MIN(Cap_In!$D$151,Cap_In!$E$151)</f>
        <v>0.0939465266456468</v>
      </c>
      <c r="F83" s="94" t="n">
        <f aca="false">MAX(Cap_In!$D$151,Cap_In!$E$151)</f>
        <v>1.05818626608135</v>
      </c>
      <c r="G83" s="61" t="s">
        <v>103</v>
      </c>
      <c r="H83" s="5" t="s">
        <v>3272</v>
      </c>
      <c r="I83" s="6" t="s">
        <v>3273</v>
      </c>
      <c r="J83" s="6" t="s">
        <v>3274</v>
      </c>
      <c r="K83" s="5" t="s">
        <v>3275</v>
      </c>
      <c r="L83" s="60" t="s">
        <v>3276</v>
      </c>
      <c r="M83" s="94" t="n">
        <f aca="false">Cap_In!$C$107</f>
        <v>0.196163661504425</v>
      </c>
      <c r="N83" s="94" t="n">
        <f aca="false">Cap_In!$C$107</f>
        <v>0.196163661504425</v>
      </c>
      <c r="O83" s="76" t="n">
        <f aca="false">IF(AND(ISNUMBER(D83),ISNUMBER(M83),ISNUMBER(N83)),D83/((M83+N83)/2),"—")</f>
        <v>2.87351467418019</v>
      </c>
      <c r="P83" s="60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2.9 倍（1＝參考請求）</v>
      </c>
      <c r="Q83" s="61" t="s">
        <v>3269</v>
      </c>
      <c r="R83" s="61" t="s">
        <v>3277</v>
      </c>
      <c r="S83" s="5" t="s">
        <v>3278</v>
      </c>
    </row>
    <row r="84" customFormat="false" ht="157.45" hidden="false" customHeight="false" outlineLevel="0" collapsed="false">
      <c r="A84" s="61" t="s">
        <v>3279</v>
      </c>
      <c r="B84" s="5" t="s">
        <v>3280</v>
      </c>
      <c r="C84" s="6" t="s">
        <v>3281</v>
      </c>
      <c r="D84" s="116" t="n">
        <f aca="false">Cap_In!$C$179</f>
        <v>28026.7098221705</v>
      </c>
      <c r="E84" s="94" t="n">
        <f aca="false">Cap_In!$E$179</f>
        <v>7703.63027673513</v>
      </c>
      <c r="F84" s="94" t="n">
        <f aca="false">Cap_In!$D$179</f>
        <v>66507.5686337981</v>
      </c>
      <c r="G84" s="61" t="s">
        <v>292</v>
      </c>
      <c r="H84" s="5" t="s">
        <v>3282</v>
      </c>
      <c r="I84" s="5" t="s">
        <v>3283</v>
      </c>
      <c r="J84" s="5" t="s">
        <v>3284</v>
      </c>
      <c r="K84" s="6" t="s">
        <v>3231</v>
      </c>
      <c r="L84" s="61" t="s">
        <v>3285</v>
      </c>
      <c r="M84" s="94" t="n">
        <f aca="false">AL_TokPerPrompt_Lo</f>
        <v>2000</v>
      </c>
      <c r="N84" s="94" t="n">
        <f aca="false">AL_TokPerPrompt_Hi</f>
        <v>11000</v>
      </c>
      <c r="O84" s="76" t="n">
        <f aca="false">IF(AND(ISNUMBER(D84),ISNUMBER(M84),ISNUMBER(N84)),D84/((M84+N84)/2),"—")</f>
        <v>4.31180151110315</v>
      </c>
      <c r="P84" s="60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61" t="s">
        <v>3279</v>
      </c>
      <c r="R84" s="61" t="s">
        <v>3286</v>
      </c>
      <c r="S84" s="5" t="s">
        <v>3287</v>
      </c>
    </row>
    <row r="85" customFormat="false" ht="143.25" hidden="false" customHeight="false" outlineLevel="0" collapsed="false">
      <c r="A85" s="61" t="s">
        <v>3288</v>
      </c>
      <c r="B85" s="5" t="s">
        <v>3289</v>
      </c>
      <c r="C85" s="6" t="s">
        <v>3290</v>
      </c>
      <c r="D85" s="116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1" t="s">
        <v>103</v>
      </c>
      <c r="H85" s="5" t="s">
        <v>3291</v>
      </c>
      <c r="I85" s="6" t="s">
        <v>3292</v>
      </c>
      <c r="J85" s="6" t="s">
        <v>3293</v>
      </c>
      <c r="K85" s="6" t="s">
        <v>3294</v>
      </c>
      <c r="L85" s="61" t="s">
        <v>3295</v>
      </c>
      <c r="M85" s="94" t="n">
        <f aca="false">Cap_In!$C$167</f>
        <v>0.828067117018958</v>
      </c>
      <c r="N85" s="94" t="n">
        <f aca="false">Cap_In!$C$168</f>
        <v>0.1625</v>
      </c>
      <c r="O85" s="76" t="str">
        <f aca="false">IF(AND(ISNUMBER(D85),ISNUMBER(M85),ISNUMBER(N85)),D85/((M85+N85)/2),"—")</f>
        <v>—</v>
      </c>
      <c r="P85" s="60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61" t="s">
        <v>3288</v>
      </c>
      <c r="R85" s="61" t="s">
        <v>3296</v>
      </c>
      <c r="S85" s="5" t="s">
        <v>3297</v>
      </c>
    </row>
    <row r="86" customFormat="false" ht="143.25" hidden="false" customHeight="false" outlineLevel="0" collapsed="false">
      <c r="A86" s="61" t="s">
        <v>3298</v>
      </c>
      <c r="B86" s="5" t="s">
        <v>3299</v>
      </c>
      <c r="C86" s="5" t="s">
        <v>3300</v>
      </c>
      <c r="D86" s="116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1" t="s">
        <v>103</v>
      </c>
      <c r="H86" s="5" t="s">
        <v>3301</v>
      </c>
      <c r="I86" s="6" t="s">
        <v>3302</v>
      </c>
      <c r="J86" s="5" t="s">
        <v>3303</v>
      </c>
      <c r="K86" s="6" t="s">
        <v>3304</v>
      </c>
      <c r="L86" s="60" t="s">
        <v>3305</v>
      </c>
      <c r="M86" s="115" t="s">
        <v>620</v>
      </c>
      <c r="N86" s="115" t="s">
        <v>620</v>
      </c>
      <c r="O86" s="76" t="str">
        <f aca="false">IF(AND(ISNUMBER(D86),ISNUMBER(M86),ISNUMBER(N86)),D86/((M86+N86)/2),"—")</f>
        <v>—</v>
      </c>
      <c r="P86" s="60" t="str">
        <f aca="false">IF(ISNUMBER(D86),IF(AND(ISNUMBER(M86),ISNUMBER(N86)),IF(M86=N86,IF(ABS(D86/M86-1)&lt;=0.2,"±20% 內","差距 &gt;20%"),IF(D86&lt;M86,"低於外部區間",IF(D86&gt;N86,"高於外部區間","落在外部區間"))),"無外部對照"),"推算值非數字（本情境）")</f>
        <v>無外部對照</v>
      </c>
      <c r="Q86" s="61" t="s">
        <v>3298</v>
      </c>
      <c r="R86" s="61" t="s">
        <v>3306</v>
      </c>
      <c r="S86" s="5" t="s">
        <v>3307</v>
      </c>
    </row>
    <row r="87" customFormat="false" ht="143.25" hidden="false" customHeight="false" outlineLevel="0" collapsed="false">
      <c r="A87" s="61" t="s">
        <v>3308</v>
      </c>
      <c r="B87" s="5" t="s">
        <v>3309</v>
      </c>
      <c r="C87" s="5" t="s">
        <v>3310</v>
      </c>
      <c r="D87" s="116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1" t="s">
        <v>103</v>
      </c>
      <c r="H87" s="5" t="s">
        <v>3311</v>
      </c>
      <c r="I87" s="6" t="s">
        <v>3302</v>
      </c>
      <c r="J87" s="6" t="s">
        <v>3312</v>
      </c>
      <c r="K87" s="6" t="s">
        <v>3313</v>
      </c>
      <c r="L87" s="60" t="s">
        <v>3314</v>
      </c>
      <c r="M87" s="115" t="s">
        <v>620</v>
      </c>
      <c r="N87" s="115" t="s">
        <v>620</v>
      </c>
      <c r="O87" s="76" t="str">
        <f aca="false">IF(AND(ISNUMBER(D87),ISNUMBER(M87),ISNUMBER(N87)),D87/((M87+N87)/2),"—")</f>
        <v>—</v>
      </c>
      <c r="P87" s="60" t="str">
        <f aca="false">IF(ISNUMBER(D87),IF(AND(ISNUMBER(M87),ISNUMBER(N87)),IF(M87=N87,IF(ABS(D87/M87-1)&lt;=0.2,"±20% 內","差距 &gt;20%"),IF(D87&lt;M87,"低於外部區間",IF(D87&gt;N87,"高於外部區間","落在外部區間"))),"無外部對照"),"推算值非數字（本情境）")</f>
        <v>無外部對照</v>
      </c>
      <c r="Q87" s="61" t="s">
        <v>3308</v>
      </c>
      <c r="R87" s="61" t="s">
        <v>3315</v>
      </c>
      <c r="S87" s="5" t="s">
        <v>3316</v>
      </c>
    </row>
    <row r="88" customFormat="false" ht="143.25" hidden="false" customHeight="false" outlineLevel="0" collapsed="false">
      <c r="A88" s="61" t="s">
        <v>3317</v>
      </c>
      <c r="B88" s="5" t="s">
        <v>3318</v>
      </c>
      <c r="C88" s="6" t="s">
        <v>3319</v>
      </c>
      <c r="D88" s="116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1" t="s">
        <v>103</v>
      </c>
      <c r="H88" s="5" t="s">
        <v>3320</v>
      </c>
      <c r="I88" s="6" t="s">
        <v>3302</v>
      </c>
      <c r="J88" s="6" t="s">
        <v>3321</v>
      </c>
      <c r="K88" s="5" t="s">
        <v>3322</v>
      </c>
      <c r="L88" s="61" t="s">
        <v>3323</v>
      </c>
      <c r="M88" s="94" t="n">
        <f aca="false">CTL_PriceLife</f>
        <v>1</v>
      </c>
      <c r="N88" s="94" t="n">
        <f aca="false">CTL_PriceLife</f>
        <v>1</v>
      </c>
      <c r="O88" s="76" t="n">
        <f aca="false">IF(AND(ISNUMBER(D88),ISNUMBER(M88),ISNUMBER(N88)),D88/((M88+N88)/2),"—")</f>
        <v>0.642602366208498</v>
      </c>
      <c r="P88" s="60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1" t="s">
        <v>3317</v>
      </c>
      <c r="R88" s="61" t="s">
        <v>3324</v>
      </c>
      <c r="S88" s="6" t="s">
        <v>3325</v>
      </c>
    </row>
    <row r="89" customFormat="false" ht="143.25" hidden="false" customHeight="false" outlineLevel="0" collapsed="false">
      <c r="A89" s="61" t="s">
        <v>3326</v>
      </c>
      <c r="B89" s="5" t="s">
        <v>3327</v>
      </c>
      <c r="C89" s="6" t="s">
        <v>3328</v>
      </c>
      <c r="D89" s="116" t="n">
        <f aca="false">Cap_In!$C$240</f>
        <v>0.530416096285739</v>
      </c>
      <c r="E89" s="94" t="n">
        <f aca="false">Cap_In!$D$240</f>
        <v>0.183273854407674</v>
      </c>
      <c r="F89" s="94" t="n">
        <f aca="false">Cap_In!$E$240</f>
        <v>1.17496114880536</v>
      </c>
      <c r="G89" s="61" t="s">
        <v>103</v>
      </c>
      <c r="H89" s="5" t="s">
        <v>3329</v>
      </c>
      <c r="I89" s="5" t="s">
        <v>3330</v>
      </c>
      <c r="J89" s="5" t="s">
        <v>3331</v>
      </c>
      <c r="K89" s="6" t="s">
        <v>3332</v>
      </c>
      <c r="L89" s="61" t="s">
        <v>3333</v>
      </c>
      <c r="M89" s="94" t="n">
        <f aca="false">L1_LTotal</f>
        <v>0.642602366208498</v>
      </c>
      <c r="N89" s="94" t="n">
        <f aca="false">L1_LTotal</f>
        <v>0.642602366208498</v>
      </c>
      <c r="O89" s="76" t="n">
        <f aca="false">IF(AND(ISNUMBER(D89),ISNUMBER(M89),ISNUMBER(N89)),D89/((M89+N89)/2),"—")</f>
        <v>0.825418834691375</v>
      </c>
      <c r="P89" s="60" t="str">
        <f aca="false">IF(AND(ISNUMBER(D89),ISNUMBER(M89)),IF(M89&gt;=D89,"回本（L_total 口徑）：L_total "&amp;TEXT(M89,"0.00")&amp;" ≥ 所需 L "&amp;TEXT(D89,"0.00"),"未回本（L_total 口徑）：L_total "&amp;TEXT(M89,"0.00")&amp;" &lt; 所需 L "&amp;TEXT(D89,"0.00")),"推算值非數字（本情境）")</f>
        <v>回本（L_total 口徑）：L_total 0.64 ≥ 所需 L 0.53</v>
      </c>
      <c r="Q89" s="61" t="s">
        <v>3326</v>
      </c>
      <c r="R89" s="61" t="s">
        <v>3334</v>
      </c>
      <c r="S89" s="6" t="s">
        <v>3335</v>
      </c>
    </row>
    <row r="90" customFormat="false" ht="44" hidden="false" customHeight="false" outlineLevel="0" collapsed="false">
      <c r="A90" s="61" t="s">
        <v>3195</v>
      </c>
      <c r="B90" s="5" t="s">
        <v>3336</v>
      </c>
      <c r="C90" s="6" t="s">
        <v>3337</v>
      </c>
      <c r="D90" s="116" t="n">
        <f aca="false">Cap_In!$C$253</f>
        <v>7.45435402551671</v>
      </c>
      <c r="E90" s="94" t="n">
        <f aca="false">Cap_In!$D$253</f>
        <v>7.45435402551671</v>
      </c>
      <c r="F90" s="94" t="n">
        <f aca="false">Cap_In!$E$253</f>
        <v>7.45435402551671</v>
      </c>
      <c r="G90" s="61" t="s">
        <v>103</v>
      </c>
      <c r="H90" s="5" t="s">
        <v>3338</v>
      </c>
      <c r="I90" s="6" t="s">
        <v>3339</v>
      </c>
      <c r="J90" s="5" t="s">
        <v>3340</v>
      </c>
      <c r="K90" s="5" t="s">
        <v>3341</v>
      </c>
      <c r="L90" s="61" t="s">
        <v>3342</v>
      </c>
      <c r="M90" s="115" t="s">
        <v>620</v>
      </c>
      <c r="N90" s="115" t="s">
        <v>620</v>
      </c>
      <c r="O90" s="76" t="str">
        <f aca="false">IF(AND(ISNUMBER(D90),ISNUMBER(M90),ISNUMBER(N90)),D90/((M90+N90)/2),"—")</f>
        <v>—</v>
      </c>
      <c r="P90" s="60" t="str">
        <f aca="false">IF(ISNUMBER(D90),IF(AND(ISNUMBER(M90),ISNUMBER(N90)),IF(M90=N90,IF(ABS(D90/M90-1)&lt;=0.2,"±20% 內","差距 &gt;20%"),IF(D90&lt;M90,"低於外部區間",IF(D90&gt;N90,"高於外部區間","落在外部區間"))),"無外部對照"),"推算值非數字（本情境）")</f>
        <v>無外部對照</v>
      </c>
      <c r="Q90" s="61" t="s">
        <v>3195</v>
      </c>
      <c r="R90" s="61" t="s">
        <v>3343</v>
      </c>
      <c r="S90" s="5" t="s">
        <v>3145</v>
      </c>
    </row>
    <row r="91" customFormat="false" ht="129.1" hidden="false" customHeight="false" outlineLevel="0" collapsed="false">
      <c r="A91" s="61" t="s">
        <v>3344</v>
      </c>
      <c r="B91" s="5" t="s">
        <v>3345</v>
      </c>
      <c r="C91" s="6" t="s">
        <v>3346</v>
      </c>
      <c r="D91" s="125" t="n">
        <f aca="false">IF(AND(ISNUMBER(L1_MFleet),ISNUMBER(AL_PriceFleet)),L1_MFleet*AL_PriceFleet,"m 非數字（本情境）")</f>
        <v>0.881794835946656</v>
      </c>
      <c r="E91" s="115" t="n">
        <f aca="false">IF(AND(ISNUMBER(L1_MFleet_Lo),ISNUMBER(AL_PriceFleet)),L1_MFleet_Lo*AL_PriceFleet,"m 非數字（本情境）")</f>
        <v>0.398071183105331</v>
      </c>
      <c r="F91" s="115" t="n">
        <f aca="false">IF(AND(ISNUMBER(L1_MFleet_Hi),ISNUMBER(AL_PriceFleet)),L1_MFleet_Hi*AL_PriceFleet,"m 非數字（本情境）")</f>
        <v>2.55201799579856</v>
      </c>
      <c r="G91" s="61" t="s">
        <v>807</v>
      </c>
      <c r="H91" s="5" t="s">
        <v>3347</v>
      </c>
      <c r="I91" s="5" t="s">
        <v>3348</v>
      </c>
      <c r="J91" s="5" t="s">
        <v>3349</v>
      </c>
      <c r="K91" s="6" t="s">
        <v>3350</v>
      </c>
      <c r="L91" s="60" t="s">
        <v>3314</v>
      </c>
      <c r="M91" s="115" t="s">
        <v>620</v>
      </c>
      <c r="N91" s="115" t="s">
        <v>620</v>
      </c>
      <c r="O91" s="76" t="str">
        <f aca="false">IF(AND(ISNUMBER(D91),ISNUMBER(M91),ISNUMBER(N91)),D91/((M91+N91)/2),"—")</f>
        <v>—</v>
      </c>
      <c r="P91" s="60" t="str">
        <f aca="false">IF(ISNUMBER(D91),IF(AND(ISNUMBER(M91),ISNUMBER(N91)),IF(M91=N91,IF(ABS(D91/M91-1)&lt;=0.2,"±20% 內","差距 &gt;20%"),IF(D91&lt;M91,"低於外部區間",IF(D91&gt;N91,"高於外部區間","落在外部區間"))),"無外部對照"),"推算值非數字（本情境）")</f>
        <v>無外部對照</v>
      </c>
      <c r="Q91" s="61" t="s">
        <v>3344</v>
      </c>
      <c r="R91" s="61" t="s">
        <v>3351</v>
      </c>
      <c r="S91" s="5" t="s">
        <v>3352</v>
      </c>
    </row>
    <row r="92" customFormat="false" ht="129.1" hidden="false" customHeight="false" outlineLevel="0" collapsed="false">
      <c r="A92" s="61" t="s">
        <v>3353</v>
      </c>
      <c r="B92" s="5" t="s">
        <v>3354</v>
      </c>
      <c r="C92" s="6" t="s">
        <v>3355</v>
      </c>
      <c r="D92" s="116" t="n">
        <f aca="false">IF(AND(ISNUMBER(L1_MImplied),ISNUMBER(Cap_In!$C$90)),L1_MImplied*Cap_In!$C$90,"m 非數字（本情境）")</f>
        <v>3.41681480706891</v>
      </c>
      <c r="E92" s="94" t="n">
        <f aca="false">IF(AND(ISNUMBER(L1_MImplied_Lo),ISNUMBER(Cap_In!$C$90)),L1_MImplied_Lo*Cap_In!$C$90,"m 非數字（本情境）")</f>
        <v>1.47504610224428</v>
      </c>
      <c r="F92" s="94" t="n">
        <f aca="false">IF(AND(ISNUMBER(L1_MImplied_Hi),ISNUMBER(Cap_In!$C$90)),L1_MImplied_Hi*Cap_In!$C$90,"m 非數字（本情境）")</f>
        <v>5.79046235091885</v>
      </c>
      <c r="G92" s="61" t="s">
        <v>807</v>
      </c>
      <c r="H92" s="5" t="s">
        <v>3356</v>
      </c>
      <c r="I92" s="5" t="s">
        <v>3348</v>
      </c>
      <c r="J92" s="5" t="s">
        <v>3357</v>
      </c>
      <c r="K92" s="5" t="s">
        <v>3358</v>
      </c>
      <c r="L92" s="60" t="s">
        <v>3314</v>
      </c>
      <c r="M92" s="115" t="s">
        <v>620</v>
      </c>
      <c r="N92" s="115" t="s">
        <v>620</v>
      </c>
      <c r="O92" s="76" t="str">
        <f aca="false">IF(AND(ISNUMBER(D92),ISNUMBER(M92),ISNUMBER(N92)),D92/((M92+N92)/2),"—")</f>
        <v>—</v>
      </c>
      <c r="P92" s="60" t="str">
        <f aca="false">IF(ISNUMBER(D92),IF(AND(ISNUMBER(M92),ISNUMBER(N92)),IF(M92=N92,IF(ABS(D92/M92-1)&lt;=0.2,"±20% 內","差距 &gt;20%"),IF(D92&lt;M92,"低於外部區間",IF(D92&gt;N92,"高於外部區間","落在外部區間"))),"無外部對照"),"推算值非數字（本情境）")</f>
        <v>無外部對照</v>
      </c>
      <c r="Q92" s="61" t="s">
        <v>3353</v>
      </c>
      <c r="R92" s="61" t="s">
        <v>3351</v>
      </c>
      <c r="S92" s="5" t="s">
        <v>3352</v>
      </c>
    </row>
    <row r="93" customFormat="false" ht="129.1" hidden="false" customHeight="false" outlineLevel="0" collapsed="false">
      <c r="A93" s="61" t="s">
        <v>3359</v>
      </c>
      <c r="B93" s="5" t="s">
        <v>3360</v>
      </c>
      <c r="C93" s="6" t="s">
        <v>3361</v>
      </c>
      <c r="D93" s="125" t="n">
        <f aca="false">IF(AND(ISNUMBER(L1_FleetBreakeven),ISNUMBER(L1_LTotal),ISNUMBER(AL_PriceFleet)),L1_FleetBreakeven/(IF_Util*CTL_ProdDerate)*AL_PriceFleet/L1_LTotal,"m 非數字（本情境）")</f>
        <v>0.727850065923961</v>
      </c>
      <c r="E93" s="115" t="n">
        <f aca="false">IF(AND(ISNUMBER(L1_FleetBreakeven),ISNUMBER(L1_LTotal_Hi),ISNUMBER(AL_PriceFleet)),L1_FleetBreakeven/(IF_Util*CTL_ProdDerate)*AL_PriceFleet/L1_LTotal_Hi,"m 非數字（本情境）")</f>
        <v>0.402593455456276</v>
      </c>
      <c r="F93" s="115" t="n">
        <f aca="false">IF(AND(ISNUMBER(L1_FleetBreakeven),ISNUMBER(L1_LTotal_Lo),ISNUMBER(AL_PriceFleet)),L1_FleetBreakeven/(IF_Util*CTL_ProdDerate)*AL_PriceFleet/L1_LTotal_Lo,"m 非數字（本情境）")</f>
        <v>1.36760577850417</v>
      </c>
      <c r="G93" s="61" t="s">
        <v>807</v>
      </c>
      <c r="H93" s="5" t="s">
        <v>3362</v>
      </c>
      <c r="I93" s="5" t="s">
        <v>3348</v>
      </c>
      <c r="J93" s="5" t="s">
        <v>3363</v>
      </c>
      <c r="K93" s="6" t="s">
        <v>3364</v>
      </c>
      <c r="L93" s="60" t="s">
        <v>3365</v>
      </c>
      <c r="M93" s="94" t="n">
        <f aca="false">L1_PriceRealFleet</f>
        <v>0.881794835946656</v>
      </c>
      <c r="N93" s="94" t="n">
        <f aca="false">L1_PriceRealFleet</f>
        <v>0.881794835946656</v>
      </c>
      <c r="O93" s="76" t="n">
        <f aca="false">IF(AND(ISNUMBER(D93),ISNUMBER(M93),ISNUMBER(N93)),D93/((M93+N93)/2),"—")</f>
        <v>0.825418834691375</v>
      </c>
      <c r="P93" s="60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回本：機隊實收 0.88 ≥ 所需 0.73 $/M</v>
      </c>
      <c r="Q93" s="61" t="s">
        <v>3359</v>
      </c>
      <c r="R93" s="61" t="s">
        <v>3351</v>
      </c>
      <c r="S93" s="5" t="s">
        <v>3366</v>
      </c>
    </row>
    <row r="94" customFormat="false" ht="86.55" hidden="false" customHeight="false" outlineLevel="0" collapsed="false">
      <c r="A94" s="61" t="s">
        <v>3367</v>
      </c>
      <c r="B94" s="5" t="s">
        <v>3368</v>
      </c>
      <c r="C94" s="5" t="s">
        <v>3369</v>
      </c>
      <c r="D94" s="116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1" t="s">
        <v>103</v>
      </c>
      <c r="H94" s="5" t="s">
        <v>3370</v>
      </c>
      <c r="I94" s="5" t="s">
        <v>3371</v>
      </c>
      <c r="J94" s="6" t="s">
        <v>3372</v>
      </c>
      <c r="K94" s="5" t="s">
        <v>3373</v>
      </c>
      <c r="L94" s="60" t="s">
        <v>3314</v>
      </c>
      <c r="M94" s="115" t="s">
        <v>620</v>
      </c>
      <c r="N94" s="115" t="s">
        <v>620</v>
      </c>
      <c r="O94" s="76" t="str">
        <f aca="false">IF(AND(ISNUMBER(D94),ISNUMBER(M94),ISNUMBER(N94)),D94/((M94+N94)/2),"—")</f>
        <v>—</v>
      </c>
      <c r="P94" s="60" t="str">
        <f aca="false">IF(ISNUMBER(D94),IF(AND(ISNUMBER(M94),ISNUMBER(N94)),IF(M94=N94,IF(ABS(D94/M94-1)&lt;=0.2,"±20% 內","差距 &gt;20%"),IF(D94&lt;M94,"低於外部區間",IF(D94&gt;N94,"高於外部區間","落在外部區間"))),"無外部對照"),"推算值非數字（本情境）")</f>
        <v>無外部對照</v>
      </c>
      <c r="Q94" s="61" t="s">
        <v>3367</v>
      </c>
      <c r="R94" s="61" t="s">
        <v>3374</v>
      </c>
      <c r="S94" s="5" t="s">
        <v>3375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7" t="s">
        <v>3376</v>
      </c>
    </row>
    <row r="2" customFormat="false" ht="15" hidden="false" customHeight="false" outlineLevel="0" collapsed="false">
      <c r="A2" s="58" t="s">
        <v>3377</v>
      </c>
    </row>
    <row r="3" customFormat="false" ht="15" hidden="false" customHeight="false" outlineLevel="0" collapsed="false">
      <c r="A3" s="73" t="s">
        <v>3378</v>
      </c>
      <c r="C3" s="61" t="s">
        <v>3379</v>
      </c>
    </row>
    <row r="4" customFormat="false" ht="58.2" hidden="false" customHeight="false" outlineLevel="0" collapsed="false">
      <c r="A4" s="84" t="s">
        <v>3380</v>
      </c>
      <c r="B4" s="83" t="s">
        <v>12</v>
      </c>
      <c r="C4" s="83" t="s">
        <v>3381</v>
      </c>
      <c r="D4" s="83" t="s">
        <v>3382</v>
      </c>
      <c r="E4" s="83" t="s">
        <v>3383</v>
      </c>
      <c r="F4" s="83" t="s">
        <v>1150</v>
      </c>
      <c r="G4" s="83" t="s">
        <v>1151</v>
      </c>
      <c r="H4" s="84" t="s">
        <v>3384</v>
      </c>
      <c r="I4" s="84" t="s">
        <v>3385</v>
      </c>
      <c r="J4" s="83" t="s">
        <v>3386</v>
      </c>
      <c r="K4" s="83" t="s">
        <v>3387</v>
      </c>
      <c r="L4" s="83" t="s">
        <v>3388</v>
      </c>
      <c r="M4" s="83" t="s">
        <v>3389</v>
      </c>
      <c r="N4" s="83" t="s">
        <v>3390</v>
      </c>
    </row>
    <row r="5" customFormat="false" ht="293.25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10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7" t="s">
        <v>3391</v>
      </c>
      <c r="K5" s="210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3392</v>
      </c>
      <c r="N5" s="111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280.55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10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7" t="s">
        <v>3393</v>
      </c>
      <c r="K6" s="210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3394</v>
      </c>
      <c r="N6" s="111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293.2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10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7" t="s">
        <v>3395</v>
      </c>
      <c r="K7" s="210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3396</v>
      </c>
      <c r="N7" s="111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293.2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10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7" t="s">
        <v>3395</v>
      </c>
      <c r="K8" s="210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3397</v>
      </c>
      <c r="N8" s="111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179.1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10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7" t="s">
        <v>3398</v>
      </c>
      <c r="K9" s="210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3399</v>
      </c>
      <c r="N9" s="111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280.55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10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7" t="s">
        <v>3393</v>
      </c>
      <c r="K10" s="210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3400</v>
      </c>
      <c r="N10" s="111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293.25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10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str">
        <f aca="false">Gov_Map!$T$249</f>
        <v>—</v>
      </c>
      <c r="J11" s="87" t="s">
        <v>3401</v>
      </c>
      <c r="K11" s="210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3402</v>
      </c>
      <c r="N11" s="111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293.25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10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str">
        <f aca="false">Gov_Map!$T$250</f>
        <v>—</v>
      </c>
      <c r="J12" s="87" t="s">
        <v>3401</v>
      </c>
      <c r="K12" s="210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3403</v>
      </c>
      <c r="N12" s="111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293.25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10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str">
        <f aca="false">Gov_Map!$T$251</f>
        <v>—</v>
      </c>
      <c r="J13" s="87" t="s">
        <v>3401</v>
      </c>
      <c r="K13" s="210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3404</v>
      </c>
      <c r="N13" s="111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293.25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10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str">
        <f aca="false">Gov_Map!$T$252</f>
        <v>—</v>
      </c>
      <c r="J14" s="87" t="s">
        <v>3401</v>
      </c>
      <c r="K14" s="210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3405</v>
      </c>
      <c r="N14" s="111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293.25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10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str">
        <f aca="false">Gov_Map!$T$253</f>
        <v>—</v>
      </c>
      <c r="J15" s="87" t="s">
        <v>3401</v>
      </c>
      <c r="K15" s="210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3406</v>
      </c>
      <c r="N15" s="111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293.25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10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str">
        <f aca="false">Gov_Map!$T$254</f>
        <v>—</v>
      </c>
      <c r="J16" s="87" t="s">
        <v>3401</v>
      </c>
      <c r="K16" s="210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3407</v>
      </c>
      <c r="N16" s="111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10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7" t="s">
        <v>3408</v>
      </c>
      <c r="K17" s="210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3409</v>
      </c>
      <c r="N17" s="111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10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7" t="s">
        <v>3408</v>
      </c>
      <c r="K18" s="210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3410</v>
      </c>
      <c r="N18" s="111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10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7" t="s">
        <v>3408</v>
      </c>
      <c r="K19" s="210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3411</v>
      </c>
      <c r="N19" s="111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10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7" t="s">
        <v>3408</v>
      </c>
      <c r="K20" s="210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3412</v>
      </c>
      <c r="N20" s="111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10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7" t="s">
        <v>3408</v>
      </c>
      <c r="K21" s="210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3413</v>
      </c>
      <c r="N21" s="111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10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7" t="s">
        <v>3408</v>
      </c>
      <c r="K22" s="210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3414</v>
      </c>
      <c r="N22" s="111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10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7" t="s">
        <v>3408</v>
      </c>
      <c r="K23" s="210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3415</v>
      </c>
      <c r="N23" s="111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10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7" t="s">
        <v>3408</v>
      </c>
      <c r="K24" s="210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3416</v>
      </c>
      <c r="N24" s="111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10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7" t="s">
        <v>3408</v>
      </c>
      <c r="K25" s="210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3417</v>
      </c>
      <c r="N25" s="111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10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7" t="s">
        <v>3408</v>
      </c>
      <c r="K26" s="210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3418</v>
      </c>
      <c r="N26" s="111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10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7" t="s">
        <v>3408</v>
      </c>
      <c r="K27" s="210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3419</v>
      </c>
      <c r="N27" s="111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10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7" t="s">
        <v>3408</v>
      </c>
      <c r="K28" s="210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3420</v>
      </c>
      <c r="N28" s="111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10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7" t="s">
        <v>3408</v>
      </c>
      <c r="K29" s="210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3421</v>
      </c>
      <c r="N29" s="111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280.55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10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7" t="s">
        <v>3393</v>
      </c>
      <c r="K30" s="210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3422</v>
      </c>
      <c r="N30" s="111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280.55" hidden="false" customHeight="false" outlineLevel="0" collapsed="false">
      <c r="A31" s="92" t="str">
        <f aca="false">Gov_Map!$A$346</f>
        <v>GM342</v>
      </c>
      <c r="B31" s="92" t="str">
        <f aca="false">Gov_Map!$C$346</f>
        <v>Calib</v>
      </c>
      <c r="C31" s="92" t="str">
        <f aca="false">Gov_Map!$D$346</f>
        <v>D67</v>
      </c>
      <c r="D31" s="210" t="str">
        <f aca="false">Gov_Map!$E$346</f>
        <v>η_d 倍數</v>
      </c>
      <c r="E31" s="92" t="str">
        <f aca="false">Gov_Map!$F$346</f>
        <v>Analogy</v>
      </c>
      <c r="F31" s="92" t="n">
        <f aca="false">Gov_Map!$K$346</f>
        <v>0.5</v>
      </c>
      <c r="G31" s="92" t="n">
        <f aca="false">Gov_Map!$L$346</f>
        <v>1.5</v>
      </c>
      <c r="H31" s="92" t="str">
        <f aca="false">Gov_Map!$P$346</f>
        <v>高</v>
      </c>
      <c r="I31" s="92" t="n">
        <f aca="false">Gov_Map!$T$346</f>
        <v>2</v>
      </c>
      <c r="J31" s="87" t="s">
        <v>3393</v>
      </c>
      <c r="K31" s="210" t="str">
        <f aca="false">IF(Gov_Map!$AK$346="","—",Gov_Map!$AK$346)</f>
        <v>—</v>
      </c>
      <c r="L31" s="92" t="str">
        <f aca="false">IF(ISNUMBER(Gov_Map!$AF$346),INDEX(IDX_SrcDate,Gov_Map!$AF$346),"—")</f>
        <v>2026-10-05</v>
      </c>
      <c r="M31" s="93" t="s">
        <v>3423</v>
      </c>
      <c r="N31" s="111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280.55" hidden="false" customHeight="false" outlineLevel="0" collapsed="false">
      <c r="A32" s="92" t="str">
        <f aca="false">Gov_Map!$A$347</f>
        <v>GM343</v>
      </c>
      <c r="B32" s="92" t="str">
        <f aca="false">Gov_Map!$C$347</f>
        <v>Calib</v>
      </c>
      <c r="C32" s="92" t="str">
        <f aca="false">Gov_Map!$D$347</f>
        <v>E67</v>
      </c>
      <c r="D32" s="210" t="str">
        <f aca="false">Gov_Map!$E$347</f>
        <v>η_d 倍數</v>
      </c>
      <c r="E32" s="92" t="str">
        <f aca="false">Gov_Map!$F$347</f>
        <v>Analogy</v>
      </c>
      <c r="F32" s="92" t="n">
        <f aca="false">Gov_Map!$K$347</f>
        <v>0.5</v>
      </c>
      <c r="G32" s="92" t="n">
        <f aca="false">Gov_Map!$L$347</f>
        <v>1.5</v>
      </c>
      <c r="H32" s="92" t="str">
        <f aca="false">Gov_Map!$P$347</f>
        <v>高</v>
      </c>
      <c r="I32" s="92" t="n">
        <f aca="false">Gov_Map!$T$347</f>
        <v>2</v>
      </c>
      <c r="J32" s="87" t="s">
        <v>3393</v>
      </c>
      <c r="K32" s="210" t="str">
        <f aca="false">IF(Gov_Map!$AK$347="","—",Gov_Map!$AK$347)</f>
        <v>—</v>
      </c>
      <c r="L32" s="92" t="str">
        <f aca="false">IF(ISNUMBER(Gov_Map!$AF$347),INDEX(IDX_SrcDate,Gov_Map!$AF$347),"—")</f>
        <v>2026-10-05</v>
      </c>
      <c r="M32" s="93" t="s">
        <v>3424</v>
      </c>
      <c r="N32" s="111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280.55" hidden="false" customHeight="false" outlineLevel="0" collapsed="false">
      <c r="A33" s="92" t="str">
        <f aca="false">Gov_Map!$A$348</f>
        <v>GM344</v>
      </c>
      <c r="B33" s="92" t="str">
        <f aca="false">Gov_Map!$C$348</f>
        <v>Calib</v>
      </c>
      <c r="C33" s="92" t="str">
        <f aca="false">Gov_Map!$D$348</f>
        <v>F67</v>
      </c>
      <c r="D33" s="210" t="str">
        <f aca="false">Gov_Map!$E$348</f>
        <v>η_d 倍數</v>
      </c>
      <c r="E33" s="92" t="str">
        <f aca="false">Gov_Map!$F$348</f>
        <v>Analogy</v>
      </c>
      <c r="F33" s="92" t="n">
        <f aca="false">Gov_Map!$K$348</f>
        <v>0.5</v>
      </c>
      <c r="G33" s="92" t="n">
        <f aca="false">Gov_Map!$L$348</f>
        <v>1.5</v>
      </c>
      <c r="H33" s="92" t="str">
        <f aca="false">Gov_Map!$P$348</f>
        <v>高</v>
      </c>
      <c r="I33" s="92" t="n">
        <f aca="false">Gov_Map!$T$348</f>
        <v>2</v>
      </c>
      <c r="J33" s="87" t="s">
        <v>3393</v>
      </c>
      <c r="K33" s="210" t="str">
        <f aca="false">IF(Gov_Map!$AK$348="","—",Gov_Map!$AK$348)</f>
        <v>—</v>
      </c>
      <c r="L33" s="92" t="str">
        <f aca="false">IF(ISNUMBER(Gov_Map!$AF$348),INDEX(IDX_SrcDate,Gov_Map!$AF$348),"—")</f>
        <v>2026-10-05</v>
      </c>
      <c r="M33" s="93" t="s">
        <v>3425</v>
      </c>
      <c r="N33" s="111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280.55" hidden="false" customHeight="false" outlineLevel="0" collapsed="false">
      <c r="A34" s="92" t="str">
        <f aca="false">Gov_Map!$A$349</f>
        <v>GM345</v>
      </c>
      <c r="B34" s="92" t="str">
        <f aca="false">Gov_Map!$C$349</f>
        <v>Calib</v>
      </c>
      <c r="C34" s="92" t="str">
        <f aca="false">Gov_Map!$D$349</f>
        <v>G67</v>
      </c>
      <c r="D34" s="210" t="str">
        <f aca="false">Gov_Map!$E$349</f>
        <v>η_d 倍數</v>
      </c>
      <c r="E34" s="92" t="str">
        <f aca="false">Gov_Map!$F$349</f>
        <v>Analogy</v>
      </c>
      <c r="F34" s="92" t="n">
        <f aca="false">Gov_Map!$K$349</f>
        <v>0.5</v>
      </c>
      <c r="G34" s="92" t="n">
        <f aca="false">Gov_Map!$L$349</f>
        <v>1.5</v>
      </c>
      <c r="H34" s="92" t="str">
        <f aca="false">Gov_Map!$P$349</f>
        <v>高</v>
      </c>
      <c r="I34" s="92" t="n">
        <f aca="false">Gov_Map!$T$349</f>
        <v>2</v>
      </c>
      <c r="J34" s="87" t="s">
        <v>3393</v>
      </c>
      <c r="K34" s="210" t="str">
        <f aca="false">IF(Gov_Map!$AK$349="","—",Gov_Map!$AK$349)</f>
        <v>—</v>
      </c>
      <c r="L34" s="92" t="str">
        <f aca="false">IF(ISNUMBER(Gov_Map!$AF$349),INDEX(IDX_SrcDate,Gov_Map!$AF$349),"—")</f>
        <v>2026-10-05</v>
      </c>
      <c r="M34" s="93" t="s">
        <v>3426</v>
      </c>
      <c r="N34" s="111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280.55" hidden="false" customHeight="false" outlineLevel="0" collapsed="false">
      <c r="A35" s="92" t="str">
        <f aca="false">Gov_Map!$A$350</f>
        <v>GM346</v>
      </c>
      <c r="B35" s="92" t="str">
        <f aca="false">Gov_Map!$C$350</f>
        <v>Calib</v>
      </c>
      <c r="C35" s="92" t="str">
        <f aca="false">Gov_Map!$D$350</f>
        <v>C68</v>
      </c>
      <c r="D35" s="210" t="str">
        <f aca="false">Gov_Map!$E$350</f>
        <v>每層延遲倍數</v>
      </c>
      <c r="E35" s="92" t="str">
        <f aca="false">Gov_Map!$F$350</f>
        <v>Assumed</v>
      </c>
      <c r="F35" s="92" t="n">
        <f aca="false">Gov_Map!$K$350</f>
        <v>1</v>
      </c>
      <c r="G35" s="92" t="n">
        <f aca="false">Gov_Map!$L$350</f>
        <v>3</v>
      </c>
      <c r="H35" s="92" t="str">
        <f aca="false">Gov_Map!$P$350</f>
        <v>高</v>
      </c>
      <c r="I35" s="92" t="str">
        <f aca="false">Gov_Map!$T$350</f>
        <v>—</v>
      </c>
      <c r="J35" s="87" t="s">
        <v>3393</v>
      </c>
      <c r="K35" s="210" t="str">
        <f aca="false">IF(Gov_Map!$AK$350="","—",Gov_Map!$AK$350)</f>
        <v>—</v>
      </c>
      <c r="L35" s="92" t="str">
        <f aca="false">IF(ISNUMBER(Gov_Map!$AF$350),INDEX(IDX_SrcDate,Gov_Map!$AF$350),"—")</f>
        <v>—</v>
      </c>
      <c r="M35" s="93" t="s">
        <v>3427</v>
      </c>
      <c r="N35" s="111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280.55" hidden="false" customHeight="false" outlineLevel="0" collapsed="false">
      <c r="A36" s="92" t="str">
        <f aca="false">Gov_Map!$A$351</f>
        <v>GM347</v>
      </c>
      <c r="B36" s="92" t="str">
        <f aca="false">Gov_Map!$C$351</f>
        <v>Calib</v>
      </c>
      <c r="C36" s="92" t="str">
        <f aca="false">Gov_Map!$D$351</f>
        <v>D68</v>
      </c>
      <c r="D36" s="210" t="str">
        <f aca="false">Gov_Map!$E$351</f>
        <v>每層延遲倍數</v>
      </c>
      <c r="E36" s="92" t="str">
        <f aca="false">Gov_Map!$F$351</f>
        <v>Assumed</v>
      </c>
      <c r="F36" s="92" t="n">
        <f aca="false">Gov_Map!$K$351</f>
        <v>1</v>
      </c>
      <c r="G36" s="92" t="n">
        <f aca="false">Gov_Map!$L$351</f>
        <v>1.5</v>
      </c>
      <c r="H36" s="92" t="str">
        <f aca="false">Gov_Map!$P$351</f>
        <v>高</v>
      </c>
      <c r="I36" s="92" t="str">
        <f aca="false">Gov_Map!$T$351</f>
        <v>—</v>
      </c>
      <c r="J36" s="87" t="s">
        <v>3393</v>
      </c>
      <c r="K36" s="210" t="str">
        <f aca="false">IF(Gov_Map!$AK$351="","—",Gov_Map!$AK$351)</f>
        <v>—</v>
      </c>
      <c r="L36" s="92" t="str">
        <f aca="false">IF(ISNUMBER(Gov_Map!$AF$351),INDEX(IDX_SrcDate,Gov_Map!$AF$351),"—")</f>
        <v>—</v>
      </c>
      <c r="M36" s="93" t="s">
        <v>3428</v>
      </c>
      <c r="N36" s="111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280.55" hidden="false" customHeight="false" outlineLevel="0" collapsed="false">
      <c r="A37" s="92" t="str">
        <f aca="false">Gov_Map!$A$352</f>
        <v>GM348</v>
      </c>
      <c r="B37" s="92" t="str">
        <f aca="false">Gov_Map!$C$352</f>
        <v>Calib</v>
      </c>
      <c r="C37" s="92" t="str">
        <f aca="false">Gov_Map!$D$352</f>
        <v>E68</v>
      </c>
      <c r="D37" s="210" t="str">
        <f aca="false">Gov_Map!$E$352</f>
        <v>每層延遲倍數</v>
      </c>
      <c r="E37" s="92" t="str">
        <f aca="false">Gov_Map!$F$352</f>
        <v>Assumed</v>
      </c>
      <c r="F37" s="92" t="n">
        <f aca="false">Gov_Map!$K$352</f>
        <v>1</v>
      </c>
      <c r="G37" s="92" t="n">
        <f aca="false">Gov_Map!$L$352</f>
        <v>1.5</v>
      </c>
      <c r="H37" s="92" t="str">
        <f aca="false">Gov_Map!$P$352</f>
        <v>高</v>
      </c>
      <c r="I37" s="92" t="str">
        <f aca="false">Gov_Map!$T$352</f>
        <v>—</v>
      </c>
      <c r="J37" s="87" t="s">
        <v>3393</v>
      </c>
      <c r="K37" s="210" t="str">
        <f aca="false">IF(Gov_Map!$AK$352="","—",Gov_Map!$AK$352)</f>
        <v>—</v>
      </c>
      <c r="L37" s="92" t="str">
        <f aca="false">IF(ISNUMBER(Gov_Map!$AF$352),INDEX(IDX_SrcDate,Gov_Map!$AF$352),"—")</f>
        <v>—</v>
      </c>
      <c r="M37" s="93" t="s">
        <v>3429</v>
      </c>
      <c r="N37" s="111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280.55" hidden="false" customHeight="false" outlineLevel="0" collapsed="false">
      <c r="A38" s="92" t="str">
        <f aca="false">Gov_Map!$A$353</f>
        <v>GM349</v>
      </c>
      <c r="B38" s="92" t="str">
        <f aca="false">Gov_Map!$C$353</f>
        <v>Calib</v>
      </c>
      <c r="C38" s="92" t="str">
        <f aca="false">Gov_Map!$D$353</f>
        <v>F68</v>
      </c>
      <c r="D38" s="210" t="str">
        <f aca="false">Gov_Map!$E$353</f>
        <v>每層延遲倍數</v>
      </c>
      <c r="E38" s="92" t="str">
        <f aca="false">Gov_Map!$F$353</f>
        <v>Assumed</v>
      </c>
      <c r="F38" s="92" t="n">
        <f aca="false">Gov_Map!$K$353</f>
        <v>1</v>
      </c>
      <c r="G38" s="92" t="n">
        <f aca="false">Gov_Map!$L$353</f>
        <v>1.5</v>
      </c>
      <c r="H38" s="92" t="str">
        <f aca="false">Gov_Map!$P$353</f>
        <v>高</v>
      </c>
      <c r="I38" s="92" t="str">
        <f aca="false">Gov_Map!$T$353</f>
        <v>—</v>
      </c>
      <c r="J38" s="87" t="s">
        <v>3393</v>
      </c>
      <c r="K38" s="210" t="str">
        <f aca="false">IF(Gov_Map!$AK$353="","—",Gov_Map!$AK$353)</f>
        <v>—</v>
      </c>
      <c r="L38" s="92" t="str">
        <f aca="false">IF(ISNUMBER(Gov_Map!$AF$353),INDEX(IDX_SrcDate,Gov_Map!$AF$353),"—")</f>
        <v>—</v>
      </c>
      <c r="M38" s="93" t="s">
        <v>3430</v>
      </c>
      <c r="N38" s="111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280.55" hidden="false" customHeight="false" outlineLevel="0" collapsed="false">
      <c r="A39" s="92" t="str">
        <f aca="false">Gov_Map!$A$354</f>
        <v>GM350</v>
      </c>
      <c r="B39" s="92" t="str">
        <f aca="false">Gov_Map!$C$354</f>
        <v>Calib</v>
      </c>
      <c r="C39" s="92" t="str">
        <f aca="false">Gov_Map!$D$354</f>
        <v>G68</v>
      </c>
      <c r="D39" s="210" t="str">
        <f aca="false">Gov_Map!$E$354</f>
        <v>每層延遲倍數</v>
      </c>
      <c r="E39" s="92" t="str">
        <f aca="false">Gov_Map!$F$354</f>
        <v>Assumed</v>
      </c>
      <c r="F39" s="92" t="n">
        <f aca="false">Gov_Map!$K$354</f>
        <v>1</v>
      </c>
      <c r="G39" s="92" t="n">
        <f aca="false">Gov_Map!$L$354</f>
        <v>1.5</v>
      </c>
      <c r="H39" s="92" t="str">
        <f aca="false">Gov_Map!$P$354</f>
        <v>高</v>
      </c>
      <c r="I39" s="92" t="str">
        <f aca="false">Gov_Map!$T$354</f>
        <v>—</v>
      </c>
      <c r="J39" s="87" t="s">
        <v>3393</v>
      </c>
      <c r="K39" s="210" t="str">
        <f aca="false">IF(Gov_Map!$AK$354="","—",Gov_Map!$AK$354)</f>
        <v>—</v>
      </c>
      <c r="L39" s="92" t="str">
        <f aca="false">IF(ISNUMBER(Gov_Map!$AF$354),INDEX(IDX_SrcDate,Gov_Map!$AF$354),"—")</f>
        <v>—</v>
      </c>
      <c r="M39" s="93" t="s">
        <v>3431</v>
      </c>
      <c r="N39" s="111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280.55" hidden="false" customHeight="false" outlineLevel="0" collapsed="false">
      <c r="A40" s="92" t="str">
        <f aca="false">Gov_Map!$A$358</f>
        <v>GM354</v>
      </c>
      <c r="B40" s="92" t="str">
        <f aca="false">Gov_Map!$C$358</f>
        <v>Calib</v>
      </c>
      <c r="C40" s="92" t="str">
        <f aca="false">Gov_Map!$D$358</f>
        <v>F69</v>
      </c>
      <c r="D40" s="210" t="str">
        <f aca="false">Gov_Map!$E$358</f>
        <v>η_p 倍數</v>
      </c>
      <c r="E40" s="92" t="str">
        <f aca="false">Gov_Map!$F$358</f>
        <v>Assumed</v>
      </c>
      <c r="F40" s="92" t="n">
        <f aca="false">Gov_Map!$K$358</f>
        <v>0.5</v>
      </c>
      <c r="G40" s="92" t="n">
        <f aca="false">Gov_Map!$L$358</f>
        <v>1.5</v>
      </c>
      <c r="H40" s="92" t="str">
        <f aca="false">Gov_Map!$P$358</f>
        <v>高</v>
      </c>
      <c r="I40" s="92" t="str">
        <f aca="false">Gov_Map!$T$358</f>
        <v>—</v>
      </c>
      <c r="J40" s="87" t="s">
        <v>3393</v>
      </c>
      <c r="K40" s="210" t="str">
        <f aca="false">IF(Gov_Map!$AK$358="","—",Gov_Map!$AK$358)</f>
        <v>—</v>
      </c>
      <c r="L40" s="92" t="str">
        <f aca="false">IF(ISNUMBER(Gov_Map!$AF$358),INDEX(IDX_SrcDate,Gov_Map!$AF$358),"—")</f>
        <v>—</v>
      </c>
      <c r="M40" s="93" t="s">
        <v>3432</v>
      </c>
      <c r="N40" s="111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Gov_Map!$A$458</f>
        <v>GM454</v>
      </c>
      <c r="B41" s="92" t="str">
        <f aca="false">Gov_Map!$C$458</f>
        <v>Cap_In</v>
      </c>
      <c r="C41" s="92" t="str">
        <f aca="false">Gov_Map!$D$458</f>
        <v>D28:E28</v>
      </c>
      <c r="D41" s="210" t="str">
        <f aca="false">Gov_Map!$E$458</f>
        <v>對外服務占機隊</v>
      </c>
      <c r="E41" s="92" t="str">
        <f aca="false">Gov_Map!$F$458</f>
        <v>Assumed</v>
      </c>
      <c r="F41" s="92" t="n">
        <f aca="false">Gov_Map!$K$458</f>
        <v>0</v>
      </c>
      <c r="G41" s="92" t="n">
        <f aca="false">Gov_Map!$L$458</f>
        <v>0</v>
      </c>
      <c r="H41" s="92" t="str">
        <f aca="false">Gov_Map!$P$458</f>
        <v>高</v>
      </c>
      <c r="I41" s="92" t="str">
        <f aca="false">Gov_Map!$T$458</f>
        <v>—</v>
      </c>
      <c r="J41" s="87" t="s">
        <v>620</v>
      </c>
      <c r="K41" s="210" t="str">
        <f aca="false">IF(Gov_Map!$AK$458="","—",Gov_Map!$AK$458)</f>
        <v>—</v>
      </c>
      <c r="L41" s="92" t="str">
        <f aca="false">IF(ISNUMBER(Gov_Map!$AF$458),INDEX(IDX_SrcDate,Gov_Map!$AF$458),"—")</f>
        <v>—</v>
      </c>
      <c r="M41" s="93" t="s">
        <v>3433</v>
      </c>
      <c r="N41" s="111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2" t="str">
        <f aca="false">Gov_Map!$A$460</f>
        <v>GM456</v>
      </c>
      <c r="B42" s="92" t="str">
        <f aca="false">Gov_Map!$C$460</f>
        <v>Cap_In</v>
      </c>
      <c r="C42" s="92" t="str">
        <f aca="false">Gov_Map!$D$460</f>
        <v>D29:E29</v>
      </c>
      <c r="D42" s="210" t="str">
        <f aca="false">Gov_Map!$E$460</f>
        <v>其中免費服務占服務</v>
      </c>
      <c r="E42" s="92" t="str">
        <f aca="false">Gov_Map!$F$460</f>
        <v>Assumed</v>
      </c>
      <c r="F42" s="92" t="n">
        <f aca="false">Gov_Map!$K$460</f>
        <v>0</v>
      </c>
      <c r="G42" s="92" t="n">
        <f aca="false">Gov_Map!$L$460</f>
        <v>0</v>
      </c>
      <c r="H42" s="92" t="str">
        <f aca="false">Gov_Map!$P$460</f>
        <v>高</v>
      </c>
      <c r="I42" s="92" t="str">
        <f aca="false">Gov_Map!$T$460</f>
        <v>—</v>
      </c>
      <c r="J42" s="87" t="s">
        <v>620</v>
      </c>
      <c r="K42" s="210" t="str">
        <f aca="false">IF(Gov_Map!$AK$460="","—",Gov_Map!$AK$460)</f>
        <v>—</v>
      </c>
      <c r="L42" s="92" t="str">
        <f aca="false">IF(ISNUMBER(Gov_Map!$AF$460),INDEX(IDX_SrcDate,Gov_Map!$AF$460),"—")</f>
        <v>—</v>
      </c>
      <c r="M42" s="93" t="s">
        <v>3434</v>
      </c>
      <c r="N42" s="111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62.65" hidden="false" customHeight="false" outlineLevel="0" collapsed="false">
      <c r="A43" s="92" t="str">
        <f aca="false">Gov_Map!$A$463</f>
        <v>GM459</v>
      </c>
      <c r="B43" s="92" t="str">
        <f aca="false">Gov_Map!$C$463</f>
        <v>Cap_In</v>
      </c>
      <c r="C43" s="92" t="str">
        <f aca="false">Gov_Map!$D$463</f>
        <v>C36</v>
      </c>
      <c r="D43" s="210" t="str">
        <f aca="false">Gov_Map!$E$463</f>
        <v>儲存層（1＝SSD；2＝DRAM；3＝HBM）</v>
      </c>
      <c r="E43" s="92" t="str">
        <f aca="false">Gov_Map!$F$463</f>
        <v>Assumed</v>
      </c>
      <c r="F43" s="89" t="n">
        <f aca="false">Gov_Map!$K$463</f>
        <v>1</v>
      </c>
      <c r="G43" s="89" t="n">
        <f aca="false">Gov_Map!$L$463</f>
        <v>3</v>
      </c>
      <c r="H43" s="92" t="str">
        <f aca="false">Gov_Map!$P$463</f>
        <v>高</v>
      </c>
      <c r="I43" s="92" t="str">
        <f aca="false">Gov_Map!$T$463</f>
        <v>—</v>
      </c>
      <c r="J43" s="87" t="s">
        <v>3435</v>
      </c>
      <c r="K43" s="210" t="str">
        <f aca="false">IF(Gov_Map!$AK$463="","—",Gov_Map!$AK$463)</f>
        <v>—</v>
      </c>
      <c r="L43" s="92" t="str">
        <f aca="false">IF(ISNUMBER(Gov_Map!$AF$463),INDEX(IDX_SrcDate,Gov_Map!$AF$463),"—")</f>
        <v>—</v>
      </c>
      <c r="M43" s="93" t="s">
        <v>3436</v>
      </c>
      <c r="N43" s="111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52.2" hidden="false" customHeight="false" outlineLevel="0" collapsed="false">
      <c r="A44" s="92" t="str">
        <f aca="false">Gov_Map!$A$523</f>
        <v>GM519</v>
      </c>
      <c r="B44" s="92" t="str">
        <f aca="false">Gov_Map!$C$523</f>
        <v>Train_In</v>
      </c>
      <c r="C44" s="92" t="str">
        <f aca="false">Gov_Map!$D$523</f>
        <v>C6</v>
      </c>
      <c r="D44" s="210" t="str">
        <f aca="false">Gov_Map!$E$523</f>
        <v>預訓練 MFU 基準（FP8 分母；GB200／GB300）</v>
      </c>
      <c r="E44" s="92" t="str">
        <f aca="false">Gov_Map!$F$523</f>
        <v>Analogy</v>
      </c>
      <c r="F44" s="92" t="n">
        <f aca="false">Gov_Map!$K$523</f>
        <v>0.18</v>
      </c>
      <c r="G44" s="92" t="n">
        <f aca="false">Gov_Map!$L$523</f>
        <v>0.35</v>
      </c>
      <c r="H44" s="92" t="str">
        <f aca="false">Gov_Map!$P$523</f>
        <v>高</v>
      </c>
      <c r="I44" s="92" t="n">
        <f aca="false">Gov_Map!$T$523</f>
        <v>1</v>
      </c>
      <c r="J44" s="87" t="s">
        <v>3437</v>
      </c>
      <c r="K44" s="210" t="str">
        <f aca="false">IF(Gov_Map!$AK$523="","—",Gov_Map!$AK$523)</f>
        <v>—</v>
      </c>
      <c r="L44" s="92" t="str">
        <f aca="false">IF(ISNUMBER(Gov_Map!$AF$523),INDEX(IDX_SrcDate,Gov_Map!$AF$523),"—")</f>
        <v>2026-10-05</v>
      </c>
      <c r="M44" s="93" t="s">
        <v>3438</v>
      </c>
      <c r="N44" s="111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52.2" hidden="false" customHeight="false" outlineLevel="0" collapsed="false">
      <c r="A45" s="92" t="str">
        <f aca="false">Gov_Map!$A$524</f>
        <v>GM520</v>
      </c>
      <c r="B45" s="92" t="str">
        <f aca="false">Gov_Map!$C$524</f>
        <v>Train_In</v>
      </c>
      <c r="C45" s="92" t="str">
        <f aca="false">Gov_Map!$D$524</f>
        <v>C7</v>
      </c>
      <c r="D45" s="210" t="str">
        <f aca="false">Gov_Map!$E$524</f>
        <v>goodput（扣除故障、重啟、checkpoint 的有效時間比）</v>
      </c>
      <c r="E45" s="92" t="str">
        <f aca="false">Gov_Map!$F$524</f>
        <v>Analogy</v>
      </c>
      <c r="F45" s="92" t="n">
        <f aca="false">Gov_Map!$K$524</f>
        <v>0.8</v>
      </c>
      <c r="G45" s="92" t="n">
        <f aca="false">Gov_Map!$L$524</f>
        <v>0.95</v>
      </c>
      <c r="H45" s="92" t="str">
        <f aca="false">Gov_Map!$P$524</f>
        <v>高</v>
      </c>
      <c r="I45" s="92" t="n">
        <f aca="false">Gov_Map!$T$524</f>
        <v>1</v>
      </c>
      <c r="J45" s="87" t="s">
        <v>3437</v>
      </c>
      <c r="K45" s="210" t="str">
        <f aca="false">IF(Gov_Map!$AK$524="","—",Gov_Map!$AK$524)</f>
        <v>—</v>
      </c>
      <c r="L45" s="92" t="str">
        <f aca="false">IF(ISNUMBER(Gov_Map!$AF$524),INDEX(IDX_SrcDate,Gov_Map!$AF$524),"—")</f>
        <v>2026-10-05</v>
      </c>
      <c r="M45" s="93" t="s">
        <v>3439</v>
      </c>
      <c r="N45" s="111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39.55" hidden="false" customHeight="false" outlineLevel="0" collapsed="false">
      <c r="A46" s="92" t="str">
        <f aca="false">Gov_Map!$A$530</f>
        <v>GM526</v>
      </c>
      <c r="B46" s="92" t="str">
        <f aca="false">Gov_Map!$C$530</f>
        <v>Train_In</v>
      </c>
      <c r="C46" s="92" t="str">
        <f aca="false">Gov_Map!$D$530</f>
        <v>C13</v>
      </c>
      <c r="D46" s="210" t="str">
        <f aca="false">Gov_Map!$E$530</f>
        <v>研發倍數（研發總 GPU 小時 ÷ 最終訓練）</v>
      </c>
      <c r="E46" s="92" t="str">
        <f aca="false">Gov_Map!$F$530</f>
        <v>Analogy</v>
      </c>
      <c r="F46" s="108" t="n">
        <f aca="false">Gov_Map!$K$530</f>
        <v>4.4</v>
      </c>
      <c r="G46" s="108" t="n">
        <f aca="false">Gov_Map!$L$530</f>
        <v>10.4</v>
      </c>
      <c r="H46" s="92" t="str">
        <f aca="false">Gov_Map!$P$530</f>
        <v>高</v>
      </c>
      <c r="I46" s="92" t="n">
        <f aca="false">Gov_Map!$T$530</f>
        <v>1</v>
      </c>
      <c r="J46" s="87" t="s">
        <v>3440</v>
      </c>
      <c r="K46" s="210" t="str">
        <f aca="false">IF(Gov_Map!$AK$530="","—",Gov_Map!$AK$530)</f>
        <v>—</v>
      </c>
      <c r="L46" s="92" t="str">
        <f aca="false">IF(ISNUMBER(Gov_Map!$AF$530),INDEX(IDX_SrcDate,Gov_Map!$AF$530),"—")</f>
        <v>—</v>
      </c>
      <c r="M46" s="93" t="s">
        <v>3441</v>
      </c>
      <c r="N46" s="111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52.2" hidden="false" customHeight="false" outlineLevel="0" collapsed="false">
      <c r="A47" s="92" t="str">
        <f aca="false">Gov_Map!$A$534</f>
        <v>GM530</v>
      </c>
      <c r="B47" s="92" t="str">
        <f aca="false">Gov_Map!$C$534</f>
        <v>Train_In</v>
      </c>
      <c r="C47" s="92" t="str">
        <f aca="false">Gov_Map!$D$534</f>
        <v>C21:G21</v>
      </c>
      <c r="D47" s="210" t="str">
        <f aca="false">Gov_Map!$E$534</f>
        <v>預訓練 MFU 世代倍數</v>
      </c>
      <c r="E47" s="92" t="str">
        <f aca="false">Gov_Map!$F$534</f>
        <v>Assumed</v>
      </c>
      <c r="F47" s="92" t="n">
        <f aca="false">Gov_Map!$K$534</f>
        <v>0</v>
      </c>
      <c r="G47" s="92" t="n">
        <f aca="false">Gov_Map!$L$534</f>
        <v>0</v>
      </c>
      <c r="H47" s="92" t="str">
        <f aca="false">Gov_Map!$P$534</f>
        <v>高</v>
      </c>
      <c r="I47" s="92" t="str">
        <f aca="false">Gov_Map!$T$534</f>
        <v>—</v>
      </c>
      <c r="J47" s="87" t="s">
        <v>3437</v>
      </c>
      <c r="K47" s="210" t="str">
        <f aca="false">IF(Gov_Map!$AK$534="","—",Gov_Map!$AK$534)</f>
        <v>—</v>
      </c>
      <c r="L47" s="92" t="str">
        <f aca="false">IF(ISNUMBER(Gov_Map!$AF$534),INDEX(IDX_SrcDate,Gov_Map!$AF$534),"—")</f>
        <v>—</v>
      </c>
      <c r="M47" s="93" t="s">
        <v>3442</v>
      </c>
      <c r="N47" s="111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64.9" hidden="false" customHeight="false" outlineLevel="0" collapsed="false">
      <c r="A48" s="92" t="str">
        <f aca="false">Gov_Map!$A$535</f>
        <v>GM531</v>
      </c>
      <c r="B48" s="92" t="str">
        <f aca="false">Gov_Map!$C$535</f>
        <v>Train_In</v>
      </c>
      <c r="C48" s="92" t="str">
        <f aca="false">Gov_Map!$D$535</f>
        <v>E25</v>
      </c>
      <c r="D48" s="210" t="str">
        <f aca="false">Gov_Map!$E$535</f>
        <v>預訓練 token</v>
      </c>
      <c r="E48" s="92" t="str">
        <f aca="false">Gov_Map!$F$535</f>
        <v>Assumed</v>
      </c>
      <c r="F48" s="92" t="n">
        <f aca="false">Gov_Map!$K$535</f>
        <v>30</v>
      </c>
      <c r="G48" s="92" t="n">
        <f aca="false">Gov_Map!$L$535</f>
        <v>100</v>
      </c>
      <c r="H48" s="92" t="str">
        <f aca="false">Gov_Map!$P$535</f>
        <v>高</v>
      </c>
      <c r="I48" s="92" t="str">
        <f aca="false">Gov_Map!$T$535</f>
        <v>—</v>
      </c>
      <c r="J48" s="87" t="s">
        <v>3443</v>
      </c>
      <c r="K48" s="210" t="str">
        <f aca="false">IF(Gov_Map!$AK$535="","—",Gov_Map!$AK$535)</f>
        <v>—</v>
      </c>
      <c r="L48" s="92" t="str">
        <f aca="false">IF(ISNUMBER(Gov_Map!$AF$535),INDEX(IDX_SrcDate,Gov_Map!$AF$535),"—")</f>
        <v>—</v>
      </c>
      <c r="M48" s="93" t="s">
        <v>3444</v>
      </c>
      <c r="N48" s="111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52.2" hidden="false" customHeight="false" outlineLevel="0" collapsed="false">
      <c r="A49" s="92" t="str">
        <f aca="false">Gov_Map!$A$544</f>
        <v>GM540</v>
      </c>
      <c r="B49" s="92" t="str">
        <f aca="false">Gov_Map!$C$544</f>
        <v>Train_In</v>
      </c>
      <c r="C49" s="92" t="str">
        <f aca="false">Gov_Map!$D$544</f>
        <v>C34:E34</v>
      </c>
      <c r="D49" s="210" t="str">
        <f aca="false">Gov_Map!$E$544</f>
        <v>RL rollout 輸出 token（含各領域專家）</v>
      </c>
      <c r="E49" s="92" t="str">
        <f aca="false">Gov_Map!$F$544</f>
        <v>Assumed</v>
      </c>
      <c r="F49" s="92" t="n">
        <f aca="false">Gov_Map!$K$544</f>
        <v>0</v>
      </c>
      <c r="G49" s="92" t="n">
        <f aca="false">Gov_Map!$L$544</f>
        <v>0</v>
      </c>
      <c r="H49" s="92" t="str">
        <f aca="false">Gov_Map!$P$544</f>
        <v>高</v>
      </c>
      <c r="I49" s="92" t="str">
        <f aca="false">Gov_Map!$T$544</f>
        <v>—</v>
      </c>
      <c r="J49" s="87" t="s">
        <v>3445</v>
      </c>
      <c r="K49" s="210" t="str">
        <f aca="false">IF(Gov_Map!$AK$544="","—",Gov_Map!$AK$544)</f>
        <v>—</v>
      </c>
      <c r="L49" s="92" t="str">
        <f aca="false">IF(ISNUMBER(Gov_Map!$AF$544),INDEX(IDX_SrcDate,Gov_Map!$AF$544),"—")</f>
        <v>—</v>
      </c>
      <c r="M49" s="93" t="s">
        <v>3446</v>
      </c>
      <c r="N49" s="111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Gov_Map!$A$580</f>
        <v>GM576</v>
      </c>
      <c r="B50" s="92" t="str">
        <f aca="false">Gov_Map!$C$580</f>
        <v>Alloc_In</v>
      </c>
      <c r="C50" s="92" t="str">
        <f aca="false">Gov_Map!$D$580</f>
        <v>C6</v>
      </c>
      <c r="D50" s="210" t="str">
        <f aca="false">Gov_Map!$E$580</f>
        <v>家族計畫數 N_major（個／年）</v>
      </c>
      <c r="E50" s="92" t="str">
        <f aca="false">Gov_Map!$F$580</f>
        <v>Assumed</v>
      </c>
      <c r="F50" s="108" t="n">
        <f aca="false">Gov_Map!$K$580</f>
        <v>1</v>
      </c>
      <c r="G50" s="108" t="n">
        <f aca="false">Gov_Map!$L$580</f>
        <v>2</v>
      </c>
      <c r="H50" s="92" t="str">
        <f aca="false">Gov_Map!$P$580</f>
        <v>高</v>
      </c>
      <c r="I50" s="92" t="str">
        <f aca="false">Gov_Map!$T$580</f>
        <v>—</v>
      </c>
      <c r="J50" s="87" t="s">
        <v>3447</v>
      </c>
      <c r="K50" s="210" t="str">
        <f aca="false">IF(Gov_Map!$AK$580="","—",Gov_Map!$AK$580)</f>
        <v>—</v>
      </c>
      <c r="L50" s="92" t="str">
        <f aca="false">IF(ISNUMBER(Gov_Map!$AF$580),INDEX(IDX_SrcDate,Gov_Map!$AF$580),"—")</f>
        <v>—</v>
      </c>
      <c r="M50" s="93" t="s">
        <v>3448</v>
      </c>
      <c r="N50" s="111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Gov_Map!$A$582</f>
        <v>GM578</v>
      </c>
      <c r="B51" s="92" t="str">
        <f aca="false">Gov_Map!$C$582</f>
        <v>Alloc_In</v>
      </c>
      <c r="C51" s="92" t="str">
        <f aca="false">Gov_Map!$D$582</f>
        <v>C7</v>
      </c>
      <c r="D51" s="210" t="str">
        <f aca="false">Gov_Map!$E$582</f>
        <v>改版計畫數 N_refresh（個／年）</v>
      </c>
      <c r="E51" s="92" t="str">
        <f aca="false">Gov_Map!$F$582</f>
        <v>Assumed</v>
      </c>
      <c r="F51" s="108" t="n">
        <f aca="false">Gov_Map!$K$582</f>
        <v>0</v>
      </c>
      <c r="G51" s="108" t="n">
        <f aca="false">Gov_Map!$L$582</f>
        <v>6</v>
      </c>
      <c r="H51" s="92" t="str">
        <f aca="false">Gov_Map!$P$582</f>
        <v>高</v>
      </c>
      <c r="I51" s="92" t="str">
        <f aca="false">Gov_Map!$T$582</f>
        <v>—</v>
      </c>
      <c r="J51" s="87" t="s">
        <v>3447</v>
      </c>
      <c r="K51" s="210" t="str">
        <f aca="false">IF(Gov_Map!$AK$582="","—",Gov_Map!$AK$582)</f>
        <v>—</v>
      </c>
      <c r="L51" s="92" t="str">
        <f aca="false">IF(ISNUMBER(Gov_Map!$AF$582),INDEX(IDX_SrcDate,Gov_Map!$AF$582),"—")</f>
        <v>—</v>
      </c>
      <c r="M51" s="93" t="s">
        <v>3449</v>
      </c>
      <c r="N51" s="111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2" t="str">
        <f aca="false">Gov_Map!$A$584</f>
        <v>GM580</v>
      </c>
      <c r="B52" s="92" t="str">
        <f aca="false">Gov_Map!$C$584</f>
        <v>Alloc_In</v>
      </c>
      <c r="C52" s="92" t="str">
        <f aca="false">Gov_Map!$D$584</f>
        <v>C8</v>
      </c>
      <c r="D52" s="210" t="str">
        <f aca="false">Gov_Map!$E$584</f>
        <v>計畫規模倍數 k（相對 Block 3）</v>
      </c>
      <c r="E52" s="92" t="str">
        <f aca="false">Gov_Map!$F$584</f>
        <v>Assumed</v>
      </c>
      <c r="F52" s="108" t="n">
        <f aca="false">Gov_Map!$K$584</f>
        <v>0.5</v>
      </c>
      <c r="G52" s="108" t="n">
        <f aca="false">Gov_Map!$L$584</f>
        <v>7</v>
      </c>
      <c r="H52" s="92" t="str">
        <f aca="false">Gov_Map!$P$584</f>
        <v>高</v>
      </c>
      <c r="I52" s="92" t="str">
        <f aca="false">Gov_Map!$T$584</f>
        <v>—</v>
      </c>
      <c r="J52" s="87" t="s">
        <v>3447</v>
      </c>
      <c r="K52" s="210" t="str">
        <f aca="false">IF(Gov_Map!$AK$584="","—",Gov_Map!$AK$584)</f>
        <v>—</v>
      </c>
      <c r="L52" s="92" t="str">
        <f aca="false">IF(ISNUMBER(Gov_Map!$AF$584),INDEX(IDX_SrcDate,Gov_Map!$AF$584),"—")</f>
        <v>—</v>
      </c>
      <c r="M52" s="93" t="s">
        <v>3450</v>
      </c>
      <c r="N52" s="111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75.35" hidden="false" customHeight="false" outlineLevel="0" collapsed="false">
      <c r="A53" s="92" t="str">
        <f aca="false">Gov_Map!$A$590</f>
        <v>GM586</v>
      </c>
      <c r="B53" s="92" t="str">
        <f aca="false">Gov_Map!$C$590</f>
        <v>Alloc_In</v>
      </c>
      <c r="C53" s="92" t="str">
        <f aca="false">Gov_Map!$D$590</f>
        <v>C15</v>
      </c>
      <c r="D53" s="210" t="str">
        <f aca="false">Gov_Map!$E$590</f>
        <v>每則提示 token 數</v>
      </c>
      <c r="E53" s="92" t="str">
        <f aca="false">Gov_Map!$F$590</f>
        <v>Assumed</v>
      </c>
      <c r="F53" s="62" t="n">
        <f aca="false">Gov_Map!$K$590</f>
        <v>2000</v>
      </c>
      <c r="G53" s="62" t="n">
        <f aca="false">Gov_Map!$L$590</f>
        <v>11000</v>
      </c>
      <c r="H53" s="92" t="str">
        <f aca="false">Gov_Map!$P$590</f>
        <v>高</v>
      </c>
      <c r="I53" s="92" t="n">
        <f aca="false">Gov_Map!$T$590</f>
        <v>2</v>
      </c>
      <c r="J53" s="87" t="s">
        <v>3451</v>
      </c>
      <c r="K53" s="210" t="str">
        <f aca="false">IF(Gov_Map!$AK$590="","—",Gov_Map!$AK$590)</f>
        <v>—</v>
      </c>
      <c r="L53" s="92" t="str">
        <f aca="false">IF(ISNUMBER(Gov_Map!$AF$590),INDEX(IDX_SrcDate,Gov_Map!$AF$590),"—")</f>
        <v>—</v>
      </c>
      <c r="M53" s="93" t="s">
        <v>3452</v>
      </c>
      <c r="N53" s="111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39.55" hidden="false" customHeight="false" outlineLevel="0" collapsed="false">
      <c r="A54" s="92" t="str">
        <f aca="false">Gov_Map!$A$596</f>
        <v>GM592</v>
      </c>
      <c r="B54" s="92" t="str">
        <f aca="false">Gov_Map!$C$596</f>
        <v>Serving</v>
      </c>
      <c r="C54" s="92" t="str">
        <f aca="false">Gov_Map!$D$596</f>
        <v>C28</v>
      </c>
      <c r="D54" s="210" t="str">
        <f aca="false">Gov_Map!$E$596</f>
        <v>並列輸出用生產折減（CTL_ProdDerate）</v>
      </c>
      <c r="E54" s="92" t="str">
        <f aca="false">Gov_Map!$F$596</f>
        <v>Assumed</v>
      </c>
      <c r="F54" s="92" t="n">
        <f aca="false">Gov_Map!$K$596</f>
        <v>0.7</v>
      </c>
      <c r="G54" s="92" t="n">
        <f aca="false">Gov_Map!$L$596</f>
        <v>1</v>
      </c>
      <c r="H54" s="92" t="str">
        <f aca="false">Gov_Map!$P$596</f>
        <v>高</v>
      </c>
      <c r="I54" s="92" t="str">
        <f aca="false">Gov_Map!$T$596</f>
        <v>—</v>
      </c>
      <c r="J54" s="87" t="s">
        <v>3453</v>
      </c>
      <c r="K54" s="210" t="str">
        <f aca="false">IF(Gov_Map!$AK$596="","—",Gov_Map!$AK$596)</f>
        <v>—</v>
      </c>
      <c r="L54" s="92" t="str">
        <f aca="false">IF(ISNUMBER(Gov_Map!$AF$596),INDEX(IDX_SrcDate,Gov_Map!$AF$596),"—")</f>
        <v>—</v>
      </c>
      <c r="M54" s="93" t="s">
        <v>3454</v>
      </c>
      <c r="N54" s="111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Gov_Map!$A$656</f>
        <v>GM652</v>
      </c>
      <c r="B55" s="92" t="str">
        <f aca="false">Gov_Map!$C$656</f>
        <v>Train_In</v>
      </c>
      <c r="C55" s="92" t="str">
        <f aca="false">Gov_Map!$D$656</f>
        <v>C34</v>
      </c>
      <c r="D55" s="210" t="str">
        <f aca="false">Gov_Map!$E$656</f>
        <v>RL rollout 輸出 token（Luna）</v>
      </c>
      <c r="E55" s="92" t="str">
        <f aca="false">Gov_Map!$F$656</f>
        <v>Assumed</v>
      </c>
      <c r="F55" s="92" t="n">
        <f aca="false">Gov_Map!$K$656</f>
        <v>0.787</v>
      </c>
      <c r="G55" s="92" t="n">
        <f aca="false">Gov_Map!$L$656</f>
        <v>2.36</v>
      </c>
      <c r="H55" s="92" t="str">
        <f aca="false">Gov_Map!$P$656</f>
        <v>高</v>
      </c>
      <c r="I55" s="92" t="str">
        <f aca="false">Gov_Map!$T$656</f>
        <v>—</v>
      </c>
      <c r="J55" s="87" t="s">
        <v>3445</v>
      </c>
      <c r="K55" s="210" t="str">
        <f aca="false">IF(Gov_Map!$AK$656="","—",Gov_Map!$AK$656)</f>
        <v>—</v>
      </c>
      <c r="L55" s="92" t="str">
        <f aca="false">IF(ISNUMBER(Gov_Map!$AF$656),INDEX(IDX_SrcDate,Gov_Map!$AF$656),"—")</f>
        <v>—</v>
      </c>
      <c r="M55" s="93" t="s">
        <v>3455</v>
      </c>
      <c r="N55" s="111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Gov_Map!$A$657</f>
        <v>GM653</v>
      </c>
      <c r="B56" s="92" t="str">
        <f aca="false">Gov_Map!$C$657</f>
        <v>Train_In</v>
      </c>
      <c r="C56" s="92" t="str">
        <f aca="false">Gov_Map!$D$657</f>
        <v>D34</v>
      </c>
      <c r="D56" s="210" t="str">
        <f aca="false">Gov_Map!$E$657</f>
        <v>RL rollout 輸出 token（Sol）</v>
      </c>
      <c r="E56" s="92" t="str">
        <f aca="false">Gov_Map!$F$657</f>
        <v>Assumed</v>
      </c>
      <c r="F56" s="92" t="n">
        <f aca="false">Gov_Map!$K$657</f>
        <v>0.787</v>
      </c>
      <c r="G56" s="92" t="n">
        <f aca="false">Gov_Map!$L$657</f>
        <v>2.36</v>
      </c>
      <c r="H56" s="92" t="str">
        <f aca="false">Gov_Map!$P$657</f>
        <v>高</v>
      </c>
      <c r="I56" s="92" t="str">
        <f aca="false">Gov_Map!$T$657</f>
        <v>—</v>
      </c>
      <c r="J56" s="87" t="s">
        <v>3445</v>
      </c>
      <c r="K56" s="210" t="str">
        <f aca="false">IF(Gov_Map!$AK$657="","—",Gov_Map!$AK$657)</f>
        <v>—</v>
      </c>
      <c r="L56" s="92" t="str">
        <f aca="false">IF(ISNUMBER(Gov_Map!$AF$657),INDEX(IDX_SrcDate,Gov_Map!$AF$657),"—")</f>
        <v>—</v>
      </c>
      <c r="M56" s="93" t="s">
        <v>3456</v>
      </c>
      <c r="N56" s="111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52.2" hidden="false" customHeight="false" outlineLevel="0" collapsed="false">
      <c r="A57" s="92" t="str">
        <f aca="false">Gov_Map!$A$658</f>
        <v>GM654</v>
      </c>
      <c r="B57" s="92" t="str">
        <f aca="false">Gov_Map!$C$658</f>
        <v>Train_In</v>
      </c>
      <c r="C57" s="92" t="str">
        <f aca="false">Gov_Map!$D$658</f>
        <v>E34</v>
      </c>
      <c r="D57" s="210" t="str">
        <f aca="false">Gov_Map!$E$658</f>
        <v>RL rollout 輸出 token（Astra）</v>
      </c>
      <c r="E57" s="92" t="str">
        <f aca="false">Gov_Map!$F$658</f>
        <v>Assumed</v>
      </c>
      <c r="F57" s="92" t="n">
        <f aca="false">Gov_Map!$K$658</f>
        <v>0.96</v>
      </c>
      <c r="G57" s="92" t="n">
        <f aca="false">Gov_Map!$L$658</f>
        <v>19.2</v>
      </c>
      <c r="H57" s="92" t="str">
        <f aca="false">Gov_Map!$P$658</f>
        <v>高</v>
      </c>
      <c r="I57" s="92" t="str">
        <f aca="false">Gov_Map!$T$658</f>
        <v>—</v>
      </c>
      <c r="J57" s="87" t="s">
        <v>3445</v>
      </c>
      <c r="K57" s="210" t="str">
        <f aca="false">IF(Gov_Map!$AK$658="","—",Gov_Map!$AK$658)</f>
        <v>—</v>
      </c>
      <c r="L57" s="92" t="str">
        <f aca="false">IF(ISNUMBER(Gov_Map!$AF$658),INDEX(IDX_SrcDate,Gov_Map!$AF$658),"—")</f>
        <v>—</v>
      </c>
      <c r="M57" s="93" t="s">
        <v>3457</v>
      </c>
      <c r="N57" s="111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293.25" hidden="false" customHeight="false" outlineLevel="0" collapsed="false">
      <c r="A58" s="92" t="str">
        <f aca="false">Gov_Map!$A$660</f>
        <v>GM656</v>
      </c>
      <c r="B58" s="92" t="str">
        <f aca="false">Gov_Map!$C$660</f>
        <v>Spec_Rack</v>
      </c>
      <c r="C58" s="92" t="str">
        <f aca="false">Gov_Map!$D$660</f>
        <v>C44:G44</v>
      </c>
      <c r="D58" s="210" t="str">
        <f aca="false">Gov_Map!$E$660</f>
        <v>模型規模倍數（基準；ARCH_ScaleGen）</v>
      </c>
      <c r="E58" s="92" t="str">
        <f aca="false">Gov_Map!$F$660</f>
        <v>Assumed</v>
      </c>
      <c r="F58" s="92" t="n">
        <f aca="false">Gov_Map!$K$660</f>
        <v>0</v>
      </c>
      <c r="G58" s="92" t="n">
        <f aca="false">Gov_Map!$L$660</f>
        <v>0</v>
      </c>
      <c r="H58" s="92" t="str">
        <f aca="false">Gov_Map!$P$660</f>
        <v>高</v>
      </c>
      <c r="I58" s="92" t="str">
        <f aca="false">Gov_Map!$T$660</f>
        <v>—</v>
      </c>
      <c r="J58" s="87" t="s">
        <v>3395</v>
      </c>
      <c r="K58" s="210" t="str">
        <f aca="false">IF(Gov_Map!$AK$660="","—",Gov_Map!$AK$660)</f>
        <v>—</v>
      </c>
      <c r="L58" s="92" t="str">
        <f aca="false">IF(ISNUMBER(Gov_Map!$AF$660),INDEX(IDX_SrcDate,Gov_Map!$AF$660),"—")</f>
        <v>—</v>
      </c>
      <c r="M58" s="93" t="s">
        <v>3458</v>
      </c>
      <c r="N58" s="111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Gov_Map!$A$661</f>
        <v>GM657</v>
      </c>
      <c r="B59" s="92" t="str">
        <f aca="false">Gov_Map!$C$661</f>
        <v>Spec_Rack</v>
      </c>
      <c r="C59" s="92" t="str">
        <f aca="false">Gov_Map!$D$661</f>
        <v>C45:G45</v>
      </c>
      <c r="D59" s="210" t="str">
        <f aca="false">Gov_Map!$E$661</f>
        <v>模型規模倍數（低；ARCH_ScaleGen_Lo）</v>
      </c>
      <c r="E59" s="92" t="str">
        <f aca="false">Gov_Map!$F$661</f>
        <v>Assumed</v>
      </c>
      <c r="F59" s="92" t="n">
        <f aca="false">Gov_Map!$K$661</f>
        <v>0</v>
      </c>
      <c r="G59" s="92" t="n">
        <f aca="false">Gov_Map!$L$661</f>
        <v>0</v>
      </c>
      <c r="H59" s="92" t="str">
        <f aca="false">Gov_Map!$P$661</f>
        <v>高</v>
      </c>
      <c r="I59" s="92" t="str">
        <f aca="false">Gov_Map!$T$661</f>
        <v>—</v>
      </c>
      <c r="J59" s="87" t="s">
        <v>620</v>
      </c>
      <c r="K59" s="210" t="str">
        <f aca="false">IF(Gov_Map!$AK$661="","—",Gov_Map!$AK$661)</f>
        <v>—</v>
      </c>
      <c r="L59" s="92" t="str">
        <f aca="false">IF(ISNUMBER(Gov_Map!$AF$661),INDEX(IDX_SrcDate,Gov_Map!$AF$661),"—")</f>
        <v>—</v>
      </c>
      <c r="M59" s="93" t="s">
        <v>3459</v>
      </c>
      <c r="N59" s="111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0" customFormat="false" ht="39.55" hidden="false" customHeight="false" outlineLevel="0" collapsed="false">
      <c r="A60" s="92" t="str">
        <f aca="false">Gov_Map!$A$662</f>
        <v>GM658</v>
      </c>
      <c r="B60" s="92" t="str">
        <f aca="false">Gov_Map!$C$662</f>
        <v>Spec_Rack</v>
      </c>
      <c r="C60" s="92" t="str">
        <f aca="false">Gov_Map!$D$662</f>
        <v>C46:G46</v>
      </c>
      <c r="D60" s="210" t="str">
        <f aca="false">Gov_Map!$E$662</f>
        <v>模型規模倍數（高；ARCH_ScaleGen_Hi）</v>
      </c>
      <c r="E60" s="92" t="str">
        <f aca="false">Gov_Map!$F$662</f>
        <v>Assumed</v>
      </c>
      <c r="F60" s="92" t="n">
        <f aca="false">Gov_Map!$K$662</f>
        <v>0</v>
      </c>
      <c r="G60" s="92" t="n">
        <f aca="false">Gov_Map!$L$662</f>
        <v>0</v>
      </c>
      <c r="H60" s="92" t="str">
        <f aca="false">Gov_Map!$P$662</f>
        <v>高</v>
      </c>
      <c r="I60" s="92" t="str">
        <f aca="false">Gov_Map!$T$662</f>
        <v>—</v>
      </c>
      <c r="J60" s="87" t="s">
        <v>620</v>
      </c>
      <c r="K60" s="210" t="str">
        <f aca="false">IF(Gov_Map!$AK$662="","—",Gov_Map!$AK$662)</f>
        <v>—</v>
      </c>
      <c r="L60" s="92" t="str">
        <f aca="false">IF(ISNUMBER(Gov_Map!$AF$662),INDEX(IDX_SrcDate,Gov_Map!$AF$662),"—")</f>
        <v>—</v>
      </c>
      <c r="M60" s="93" t="s">
        <v>3460</v>
      </c>
      <c r="N60" s="111" t="str">
        <f aca="false">IF(AND(ISTEXT(L60),LEN(L60)=10),IF(ISNUMBER(VALUE(SUBSTITUTE(L60,"-",""))),DATE(VALUE(LEFT($C$3,4)),VALUE(MID($C$3,6,2)),VALUE(RIGHT($C$3,2)))-DATE(VALUE(LEFT(L60,4)),VALUE(MID(L60,6,2)),VALUE(RIGHT(L60,2))),"—"),"—")</f>
        <v>—</v>
      </c>
    </row>
    <row r="62" customFormat="false" ht="15" hidden="false" customHeight="false" outlineLevel="0" collapsed="false">
      <c r="A62" s="59" t="s">
        <v>3461</v>
      </c>
      <c r="J62" s="89" t="n">
        <f aca="false">SUMPRODUCT((Gov_Map!$P$5:$P$700="高")*((Gov_Map!$F$5:$F$700="Assumed")+(Gov_Map!$F$5:$F$700="Analogy")))</f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7" t="s">
        <v>3462</v>
      </c>
    </row>
    <row r="2" customFormat="false" ht="15" hidden="false" customHeight="false" outlineLevel="0" collapsed="false">
      <c r="A2" s="73" t="s">
        <v>3463</v>
      </c>
    </row>
    <row r="4" customFormat="false" ht="15" hidden="false" customHeight="false" outlineLevel="0" collapsed="false">
      <c r="A4" s="59" t="s">
        <v>3464</v>
      </c>
    </row>
    <row r="5" customFormat="false" ht="15" hidden="false" customHeight="false" outlineLevel="0" collapsed="false">
      <c r="A5" s="61" t="s">
        <v>3465</v>
      </c>
      <c r="B5" s="61" t="s">
        <v>99</v>
      </c>
      <c r="C5" s="65" t="n">
        <v>0.6</v>
      </c>
      <c r="F5" s="58" t="s">
        <v>3466</v>
      </c>
    </row>
    <row r="6" customFormat="false" ht="15" hidden="false" customHeight="false" outlineLevel="0" collapsed="false">
      <c r="A6" s="61" t="s">
        <v>3467</v>
      </c>
      <c r="B6" s="61" t="s">
        <v>3468</v>
      </c>
      <c r="C6" s="66" t="n">
        <v>10</v>
      </c>
      <c r="F6" s="58" t="s">
        <v>3469</v>
      </c>
    </row>
    <row r="7" customFormat="false" ht="15" hidden="false" customHeight="false" outlineLevel="0" collapsed="false">
      <c r="A7" s="61" t="s">
        <v>3470</v>
      </c>
      <c r="B7" s="61" t="s">
        <v>3468</v>
      </c>
      <c r="C7" s="66" t="n">
        <v>40</v>
      </c>
      <c r="F7" s="58" t="s">
        <v>3471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7" t="s">
        <v>3472</v>
      </c>
    </row>
    <row r="2" customFormat="false" ht="15" hidden="false" customHeight="false" outlineLevel="0" collapsed="false">
      <c r="A2" s="73" t="s">
        <v>3473</v>
      </c>
    </row>
    <row r="4" customFormat="false" ht="30" hidden="false" customHeight="true" outlineLevel="0" collapsed="false">
      <c r="A4" s="83" t="s">
        <v>3474</v>
      </c>
      <c r="B4" s="83" t="s">
        <v>3475</v>
      </c>
      <c r="C4" s="83" t="s">
        <v>3476</v>
      </c>
      <c r="D4" s="83" t="s">
        <v>3477</v>
      </c>
      <c r="E4" s="83" t="s">
        <v>3478</v>
      </c>
      <c r="F4" s="83" t="s">
        <v>3479</v>
      </c>
      <c r="G4" s="83" t="s">
        <v>3480</v>
      </c>
      <c r="H4" s="83" t="s">
        <v>3481</v>
      </c>
      <c r="I4" s="83" t="s">
        <v>3482</v>
      </c>
      <c r="J4" s="83" t="s">
        <v>3483</v>
      </c>
      <c r="K4" s="83" t="s">
        <v>87</v>
      </c>
      <c r="L4" s="83" t="s">
        <v>338</v>
      </c>
    </row>
    <row r="5" customFormat="false" ht="15" hidden="false" customHeight="false" outlineLevel="0" collapsed="false">
      <c r="A5" s="61" t="s">
        <v>3484</v>
      </c>
      <c r="B5" s="78" t="n">
        <v>0.5</v>
      </c>
      <c r="C5" s="78" t="n">
        <v>0.7</v>
      </c>
      <c r="D5" s="78" t="n">
        <v>1</v>
      </c>
      <c r="E5" s="78" t="n">
        <v>0.8</v>
      </c>
      <c r="F5" s="78" t="n">
        <v>0.9</v>
      </c>
      <c r="G5" s="78" t="n">
        <v>1</v>
      </c>
      <c r="H5" s="104" t="n">
        <f aca="false">F5/C5</f>
        <v>1.28571428571429</v>
      </c>
      <c r="I5" s="76" t="n">
        <f aca="false">E5/D5</f>
        <v>0.8</v>
      </c>
      <c r="J5" s="76" t="n">
        <f aca="false">G5/B5</f>
        <v>2</v>
      </c>
      <c r="K5" s="58" t="s">
        <v>100</v>
      </c>
      <c r="L5" s="58" t="s">
        <v>3485</v>
      </c>
    </row>
    <row r="6" customFormat="false" ht="15" hidden="false" customHeight="false" outlineLevel="0" collapsed="false">
      <c r="A6" s="61" t="s">
        <v>3486</v>
      </c>
      <c r="B6" s="78" t="n">
        <v>0.6</v>
      </c>
      <c r="C6" s="78" t="n">
        <v>0.8</v>
      </c>
      <c r="D6" s="78" t="n">
        <v>1.1</v>
      </c>
      <c r="E6" s="78" t="n">
        <v>0.7</v>
      </c>
      <c r="F6" s="78" t="n">
        <v>0.8</v>
      </c>
      <c r="G6" s="78" t="n">
        <v>1</v>
      </c>
      <c r="H6" s="104" t="n">
        <f aca="false">F6/C6</f>
        <v>1</v>
      </c>
      <c r="I6" s="76" t="n">
        <f aca="false">E6/D6</f>
        <v>0.636363636363636</v>
      </c>
      <c r="J6" s="76" t="n">
        <f aca="false">G6/B6</f>
        <v>1.66666666666667</v>
      </c>
      <c r="K6" s="58" t="s">
        <v>100</v>
      </c>
      <c r="L6" s="73" t="s">
        <v>3487</v>
      </c>
    </row>
    <row r="7" customFormat="false" ht="15" hidden="false" customHeight="false" outlineLevel="0" collapsed="false">
      <c r="A7" s="61" t="s">
        <v>3488</v>
      </c>
      <c r="B7" s="78" t="n">
        <v>0.3</v>
      </c>
      <c r="C7" s="78" t="n">
        <v>0.5</v>
      </c>
      <c r="D7" s="78" t="n">
        <v>0.8</v>
      </c>
      <c r="E7" s="78" t="n">
        <v>0.6</v>
      </c>
      <c r="F7" s="78" t="n">
        <v>0.7</v>
      </c>
      <c r="G7" s="78" t="n">
        <v>0.9</v>
      </c>
      <c r="H7" s="104" t="n">
        <f aca="false">F7/C7</f>
        <v>1.4</v>
      </c>
      <c r="I7" s="76" t="n">
        <f aca="false">E7/D7</f>
        <v>0.75</v>
      </c>
      <c r="J7" s="76" t="n">
        <f aca="false">G7/B7</f>
        <v>3</v>
      </c>
      <c r="K7" s="58" t="s">
        <v>100</v>
      </c>
      <c r="L7" s="58" t="s">
        <v>3489</v>
      </c>
    </row>
    <row r="8" customFormat="false" ht="15" hidden="false" customHeight="false" outlineLevel="0" collapsed="false">
      <c r="A8" s="61" t="s">
        <v>3490</v>
      </c>
      <c r="B8" s="78" t="n">
        <v>0.2</v>
      </c>
      <c r="C8" s="78" t="n">
        <v>0.4</v>
      </c>
      <c r="D8" s="78" t="n">
        <v>0.8</v>
      </c>
      <c r="E8" s="78" t="n">
        <v>0.8</v>
      </c>
      <c r="F8" s="78" t="n">
        <v>1</v>
      </c>
      <c r="G8" s="78" t="n">
        <v>1.2</v>
      </c>
      <c r="H8" s="104" t="n">
        <f aca="false">F8/C8</f>
        <v>2.5</v>
      </c>
      <c r="I8" s="76" t="n">
        <f aca="false">E8/D8</f>
        <v>1</v>
      </c>
      <c r="J8" s="76" t="n">
        <f aca="false">G8/B8</f>
        <v>6</v>
      </c>
      <c r="K8" s="58" t="s">
        <v>100</v>
      </c>
      <c r="L8" s="73" t="s">
        <v>3491</v>
      </c>
    </row>
    <row r="9" customFormat="false" ht="15" hidden="false" customHeight="false" outlineLevel="0" collapsed="false">
      <c r="A9" s="61" t="s">
        <v>3492</v>
      </c>
      <c r="B9" s="78" t="n">
        <v>0.4</v>
      </c>
      <c r="C9" s="78" t="n">
        <v>0.6</v>
      </c>
      <c r="D9" s="78" t="n">
        <v>0.9</v>
      </c>
      <c r="E9" s="78" t="n">
        <v>0.7</v>
      </c>
      <c r="F9" s="78" t="n">
        <v>0.8</v>
      </c>
      <c r="G9" s="78" t="n">
        <v>1</v>
      </c>
      <c r="H9" s="104" t="n">
        <f aca="false">F9/C9</f>
        <v>1.33333333333333</v>
      </c>
      <c r="I9" s="76" t="n">
        <f aca="false">E9/D9</f>
        <v>0.777777777777778</v>
      </c>
      <c r="J9" s="76" t="n">
        <f aca="false">G9/B9</f>
        <v>2.5</v>
      </c>
      <c r="K9" s="58" t="s">
        <v>100</v>
      </c>
      <c r="L9" s="73" t="s">
        <v>3493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3494</v>
      </c>
    </row>
    <row r="2" customFormat="false" ht="15" hidden="false" customHeight="true" outlineLevel="0" collapsed="false">
      <c r="A2" s="11" t="s">
        <v>3495</v>
      </c>
    </row>
    <row r="4" customFormat="false" ht="30" hidden="false" customHeight="true" outlineLevel="0" collapsed="false">
      <c r="A4" s="20" t="s">
        <v>829</v>
      </c>
      <c r="C4" s="211" t="s">
        <v>85</v>
      </c>
      <c r="D4" s="211" t="s">
        <v>3496</v>
      </c>
      <c r="E4" s="211" t="s">
        <v>3497</v>
      </c>
      <c r="F4" s="211" t="s">
        <v>3498</v>
      </c>
      <c r="G4" s="211" t="s">
        <v>3499</v>
      </c>
      <c r="H4" s="211" t="s">
        <v>3500</v>
      </c>
      <c r="I4" s="211" t="s">
        <v>3501</v>
      </c>
      <c r="J4" s="211" t="s">
        <v>3502</v>
      </c>
      <c r="K4" s="211" t="s">
        <v>3503</v>
      </c>
      <c r="L4" s="211" t="s">
        <v>3504</v>
      </c>
      <c r="M4" s="211" t="s">
        <v>3505</v>
      </c>
      <c r="N4" s="212" t="s">
        <v>3506</v>
      </c>
      <c r="O4" s="212" t="s">
        <v>3507</v>
      </c>
      <c r="P4" s="212" t="s">
        <v>3508</v>
      </c>
      <c r="Q4" s="212" t="s">
        <v>3509</v>
      </c>
      <c r="R4" s="211" t="s">
        <v>3510</v>
      </c>
      <c r="S4" s="211" t="s">
        <v>3511</v>
      </c>
      <c r="T4" s="212" t="s">
        <v>3512</v>
      </c>
      <c r="U4" s="212" t="s">
        <v>3513</v>
      </c>
      <c r="V4" s="211" t="s">
        <v>3514</v>
      </c>
      <c r="W4" s="211" t="s">
        <v>3515</v>
      </c>
      <c r="X4" s="211" t="s">
        <v>3516</v>
      </c>
      <c r="Y4" s="211" t="s">
        <v>3517</v>
      </c>
    </row>
    <row r="6" customFormat="false" ht="15" hidden="false" customHeight="true" outlineLevel="0" collapsed="false">
      <c r="A6" s="25" t="s">
        <v>868</v>
      </c>
      <c r="B6" s="14"/>
      <c r="C6" s="14"/>
    </row>
    <row r="7" customFormat="false" ht="15" hidden="false" customHeight="true" outlineLevel="0" collapsed="false">
      <c r="A7" s="15" t="s">
        <v>3518</v>
      </c>
      <c r="B7" s="16" t="s">
        <v>870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98</v>
      </c>
      <c r="B8" s="16" t="s">
        <v>99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871</v>
      </c>
      <c r="B9" s="16" t="s">
        <v>870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742</v>
      </c>
      <c r="B10" s="16" t="s">
        <v>743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2410</v>
      </c>
      <c r="B11" s="21" t="s">
        <v>741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5" t="s">
        <v>184</v>
      </c>
      <c r="B12" s="21" t="s">
        <v>735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2412</v>
      </c>
      <c r="B13" s="21" t="s">
        <v>735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102</v>
      </c>
      <c r="B14" s="16" t="s">
        <v>103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30" t="n">
        <f aca="false">Inputs!$D$9</f>
        <v>1.1</v>
      </c>
      <c r="U14" s="130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0" t="s">
        <v>874</v>
      </c>
      <c r="B15" s="16" t="s">
        <v>870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3519</v>
      </c>
      <c r="B16" s="14"/>
      <c r="C16" s="14"/>
    </row>
    <row r="17" customFormat="false" ht="15" hidden="false" customHeight="true" outlineLevel="0" collapsed="false">
      <c r="A17" s="20" t="s">
        <v>876</v>
      </c>
      <c r="B17" s="16" t="s">
        <v>877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878</v>
      </c>
      <c r="B18" s="16" t="s">
        <v>879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5" t="s">
        <v>113</v>
      </c>
      <c r="B19" s="16" t="s">
        <v>99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880</v>
      </c>
      <c r="B20" s="16" t="s">
        <v>879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0" t="s">
        <v>881</v>
      </c>
      <c r="B21" s="16" t="s">
        <v>116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881</v>
      </c>
      <c r="B22" s="16" t="s">
        <v>879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5" t="s">
        <v>882</v>
      </c>
      <c r="B23" s="16" t="s">
        <v>879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0" t="s">
        <v>119</v>
      </c>
      <c r="B24" s="16" t="s">
        <v>879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0" t="s">
        <v>883</v>
      </c>
      <c r="B25" s="16" t="s">
        <v>879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1" t="n">
        <f aca="false">J7*Inputs!$D$17/1000</f>
        <v>3</v>
      </c>
      <c r="K25" s="131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0" t="s">
        <v>884</v>
      </c>
      <c r="B26" s="16" t="s">
        <v>879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1" t="n">
        <f aca="false">L7*Inputs!$D$18/1000</f>
        <v>3.8</v>
      </c>
      <c r="M26" s="131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0" t="s">
        <v>885</v>
      </c>
      <c r="B27" s="16" t="s">
        <v>879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0" t="s">
        <v>886</v>
      </c>
      <c r="B28" s="16" t="s">
        <v>879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0" t="s">
        <v>887</v>
      </c>
      <c r="B29" s="16" t="s">
        <v>99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129</v>
      </c>
      <c r="B30" s="16" t="s">
        <v>879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0" t="s">
        <v>888</v>
      </c>
      <c r="B31" s="16" t="s">
        <v>879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0" t="s">
        <v>3520</v>
      </c>
      <c r="B32" s="16" t="s">
        <v>879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0" t="s">
        <v>890</v>
      </c>
      <c r="B33" s="16" t="s">
        <v>891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892</v>
      </c>
      <c r="B34" s="16" t="s">
        <v>877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893</v>
      </c>
      <c r="B35" s="16" t="s">
        <v>877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5" t="s">
        <v>3521</v>
      </c>
      <c r="B36" s="14"/>
      <c r="C36" s="14"/>
    </row>
    <row r="37" customFormat="false" ht="15" hidden="false" customHeight="true" outlineLevel="0" collapsed="false">
      <c r="A37" s="15" t="s">
        <v>895</v>
      </c>
      <c r="B37" s="21" t="s">
        <v>134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13" t="n">
        <v>7</v>
      </c>
      <c r="O37" s="133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5" t="s">
        <v>896</v>
      </c>
      <c r="B38" s="16" t="s">
        <v>879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0" t="s">
        <v>897</v>
      </c>
      <c r="B39" s="16" t="s">
        <v>879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106</v>
      </c>
      <c r="B40" s="16" t="s">
        <v>99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108</v>
      </c>
      <c r="B41" s="16" t="s">
        <v>109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134" t="n">
        <f aca="false">Inputs!$D$11</f>
        <v>0.06</v>
      </c>
      <c r="S41" s="134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0" t="s">
        <v>898</v>
      </c>
      <c r="B42" s="16" t="s">
        <v>879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5" t="s">
        <v>899</v>
      </c>
      <c r="B43" s="16" t="s">
        <v>879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0" t="s">
        <v>149</v>
      </c>
      <c r="B44" s="16" t="s">
        <v>879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0" t="s">
        <v>3522</v>
      </c>
      <c r="B45" s="16" t="s">
        <v>879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160</v>
      </c>
      <c r="B46" s="16" t="s">
        <v>879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0" t="s">
        <v>901</v>
      </c>
      <c r="B47" s="16" t="s">
        <v>879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0" t="s">
        <v>902</v>
      </c>
      <c r="B48" s="16" t="s">
        <v>879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5" t="s">
        <v>3523</v>
      </c>
      <c r="B49" s="14"/>
      <c r="C49" s="14"/>
    </row>
    <row r="50" customFormat="false" ht="15" hidden="false" customHeight="true" outlineLevel="0" collapsed="false">
      <c r="A50" s="15" t="s">
        <v>904</v>
      </c>
      <c r="B50" s="16" t="s">
        <v>99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905</v>
      </c>
      <c r="B51" s="16" t="s">
        <v>103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5" t="s">
        <v>906</v>
      </c>
      <c r="B52" s="16" t="s">
        <v>879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0" t="s">
        <v>907</v>
      </c>
      <c r="B53" s="16" t="s">
        <v>879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908</v>
      </c>
      <c r="B54" s="16" t="s">
        <v>879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5" t="s">
        <v>909</v>
      </c>
      <c r="B55" s="14"/>
      <c r="C55" s="14"/>
    </row>
    <row r="56" customFormat="false" ht="15" hidden="false" customHeight="true" outlineLevel="0" collapsed="false">
      <c r="A56" s="20" t="s">
        <v>910</v>
      </c>
      <c r="B56" s="16" t="s">
        <v>852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0" t="s">
        <v>911</v>
      </c>
      <c r="B57" s="16" t="s">
        <v>852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0" t="s">
        <v>912</v>
      </c>
      <c r="B58" s="16" t="s">
        <v>913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914</v>
      </c>
      <c r="B59" s="16" t="s">
        <v>915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0" t="s">
        <v>916</v>
      </c>
      <c r="B60" s="16" t="s">
        <v>99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917</v>
      </c>
      <c r="B61" s="16" t="s">
        <v>99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3524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3525</v>
      </c>
      <c r="B65" s="34"/>
      <c r="C65" s="34" t="s">
        <v>3526</v>
      </c>
      <c r="D65" s="34" t="s">
        <v>3527</v>
      </c>
      <c r="E65" s="34" t="s">
        <v>3528</v>
      </c>
      <c r="F65" s="34" t="s">
        <v>3529</v>
      </c>
      <c r="G65" s="34" t="s">
        <v>3530</v>
      </c>
      <c r="H65" s="34" t="s">
        <v>3531</v>
      </c>
      <c r="I65" s="214" t="s">
        <v>3532</v>
      </c>
      <c r="J65" s="214" t="s">
        <v>3533</v>
      </c>
    </row>
    <row r="66" customFormat="false" ht="15" hidden="false" customHeight="true" outlineLevel="0" collapsed="false">
      <c r="A66" s="20" t="s">
        <v>85</v>
      </c>
      <c r="C66" s="37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0" t="s">
        <v>3534</v>
      </c>
      <c r="C67" s="37" t="n">
        <f aca="false">D32</f>
        <v>47.582032</v>
      </c>
      <c r="D67" s="37" t="n">
        <f aca="false">E32</f>
        <v>53.376392</v>
      </c>
      <c r="E67" s="215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0" t="s">
        <v>3535</v>
      </c>
      <c r="C68" s="37" t="n">
        <f aca="false">F32</f>
        <v>58.057468</v>
      </c>
      <c r="D68" s="37" t="n">
        <f aca="false">G32</f>
        <v>49.774</v>
      </c>
      <c r="E68" s="215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0" t="s">
        <v>3536</v>
      </c>
      <c r="C69" s="37" t="n">
        <f aca="false">H32</f>
        <v>48.554512</v>
      </c>
      <c r="D69" s="37" t="n">
        <f aca="false">I32</f>
        <v>51.958192</v>
      </c>
      <c r="E69" s="215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0" t="s">
        <v>3537</v>
      </c>
      <c r="C70" s="37" t="n">
        <f aca="false">J32</f>
        <v>49.566352</v>
      </c>
      <c r="D70" s="37" t="n">
        <f aca="false">K32</f>
        <v>51.291352</v>
      </c>
      <c r="E70" s="215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0" t="s">
        <v>3538</v>
      </c>
      <c r="C71" s="37" t="n">
        <f aca="false">L32</f>
        <v>49.451352</v>
      </c>
      <c r="D71" s="37" t="n">
        <f aca="false">M32</f>
        <v>51.406352</v>
      </c>
      <c r="E71" s="215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5" t="s">
        <v>3539</v>
      </c>
      <c r="C72" s="37" t="n">
        <f aca="false">N32</f>
        <v>50.256352</v>
      </c>
      <c r="D72" s="37" t="n">
        <f aca="false">O32</f>
        <v>50.256352</v>
      </c>
      <c r="E72" s="215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5" t="s">
        <v>904</v>
      </c>
      <c r="C73" s="37" t="n">
        <f aca="false">P32</f>
        <v>50.256352</v>
      </c>
      <c r="D73" s="37" t="n">
        <f aca="false">Q32</f>
        <v>50.256352</v>
      </c>
      <c r="E73" s="215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0" t="s">
        <v>108</v>
      </c>
      <c r="C74" s="37" t="n">
        <f aca="false">R32</f>
        <v>50.256352</v>
      </c>
      <c r="D74" s="37" t="n">
        <f aca="false">S32</f>
        <v>50.256352</v>
      </c>
      <c r="E74" s="215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5" t="s">
        <v>102</v>
      </c>
      <c r="C75" s="37" t="n">
        <f aca="false">T32</f>
        <v>50.256352</v>
      </c>
      <c r="D75" s="37" t="n">
        <f aca="false">U32</f>
        <v>50.256352</v>
      </c>
      <c r="E75" s="215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0" t="s">
        <v>3540</v>
      </c>
      <c r="C76" s="37" t="n">
        <f aca="false">V32</f>
        <v>50.256352</v>
      </c>
      <c r="D76" s="37" t="n">
        <f aca="false">W32</f>
        <v>50.256352</v>
      </c>
      <c r="E76" s="215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0" t="s">
        <v>3541</v>
      </c>
      <c r="C77" s="37" t="n">
        <f aca="false">X32</f>
        <v>51.49006</v>
      </c>
      <c r="D77" s="37" t="n">
        <f aca="false">Y32</f>
        <v>48.623776</v>
      </c>
      <c r="E77" s="215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3542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370</v>
      </c>
      <c r="B3" s="12" t="s">
        <v>3543</v>
      </c>
      <c r="C3" s="12" t="s">
        <v>3544</v>
      </c>
      <c r="D3" s="12" t="s">
        <v>83</v>
      </c>
      <c r="E3" s="12" t="s">
        <v>541</v>
      </c>
      <c r="F3" s="12" t="s">
        <v>463</v>
      </c>
    </row>
    <row r="4" customFormat="false" ht="15" hidden="false" customHeight="true" outlineLevel="0" collapsed="false">
      <c r="A4" s="15" t="s">
        <v>3545</v>
      </c>
      <c r="B4" s="180" t="n">
        <f aca="false">(DC_Cost!M33)/CTL_GW</f>
        <v>50.256352</v>
      </c>
      <c r="C4" s="216" t="str">
        <f aca="false">TEXT(SRC_DC_010_Lo,"0")&amp;"–"&amp;TEXT(SRC_DC_010_Hi,"0")</f>
        <v>50–60</v>
      </c>
      <c r="D4" s="16" t="s">
        <v>2782</v>
      </c>
      <c r="E4" s="20" t="str">
        <f aca="false">IF(AND(B4&gt;=SRC_DC_010_Lo,B4&lt;=SRC_DC_010_Hi),"落在區間",IF(B4&lt;SRC_DC_010_Lo,"低於參照","高於參照"))</f>
        <v>落在區間</v>
      </c>
      <c r="F4" s="19" t="s">
        <v>3546</v>
      </c>
    </row>
    <row r="5" customFormat="false" ht="15" hidden="false" customHeight="true" outlineLevel="0" collapsed="false">
      <c r="A5" s="15" t="s">
        <v>3547</v>
      </c>
      <c r="B5" s="180" t="n">
        <f aca="false">(DC_Cost!M19)/CTL_GW</f>
        <v>34.0368</v>
      </c>
      <c r="C5" s="180" t="n">
        <f aca="false">SRC_DC_011</f>
        <v>35</v>
      </c>
      <c r="D5" s="16" t="s">
        <v>2782</v>
      </c>
      <c r="E5" s="20" t="str">
        <f aca="false">IF(ABS(B5-C5)/C5&lt;=0.2,"±20% 內","差距 &gt;20%")</f>
        <v>±20% 內</v>
      </c>
      <c r="F5" s="19" t="s">
        <v>3548</v>
      </c>
    </row>
    <row r="6" customFormat="false" ht="15" hidden="false" customHeight="true" outlineLevel="0" collapsed="false">
      <c r="A6" s="20" t="s">
        <v>893</v>
      </c>
      <c r="B6" s="180" t="n">
        <f aca="false">DC_Cost!M36</f>
        <v>12.67</v>
      </c>
      <c r="C6" s="216" t="str">
        <f aca="false">TEXT(SRC_DC_003,"0.0")&amp;" × "&amp;TEXT(1+SRC_DC_004_Lo,"0.00")&amp;"–"&amp;TEXT(1+SRC_DC_004_Hi,"0.00")</f>
        <v>11.3 × 1.07–1.10</v>
      </c>
      <c r="D6" s="16" t="s">
        <v>120</v>
      </c>
      <c r="E6" s="20" t="str">
        <f aca="false">IF(AND(B6&gt;=SRC_DC_003*(1+SRC_DC_004_Lo)*0.9,B6&lt;=SRC_DC_003*(1+SRC_DC_004_Hi)*1.3),"合理區間","需檢查")</f>
        <v>合理區間</v>
      </c>
      <c r="F6" s="6" t="s">
        <v>3549</v>
      </c>
    </row>
    <row r="7" customFormat="false" ht="15" hidden="false" customHeight="true" outlineLevel="0" collapsed="false">
      <c r="A7" s="15" t="s">
        <v>3550</v>
      </c>
      <c r="B7" s="180" t="n">
        <f aca="false">DC_Cost!G58</f>
        <v>2.00846099652078</v>
      </c>
      <c r="C7" s="180" t="n">
        <f aca="false">SRC_DC_012</f>
        <v>2.21</v>
      </c>
      <c r="D7" s="16" t="s">
        <v>852</v>
      </c>
      <c r="E7" s="20" t="str">
        <f aca="false">IF(B7&gt;C7,"高於參照（參照假設未知）","低於參照")</f>
        <v>低於參照</v>
      </c>
      <c r="F7" s="6" t="s">
        <v>3551</v>
      </c>
    </row>
    <row r="8" customFormat="false" ht="15" hidden="false" customHeight="true" outlineLevel="0" collapsed="false">
      <c r="A8" s="15" t="s">
        <v>3552</v>
      </c>
      <c r="B8" s="180" t="n">
        <f aca="false">DC_Cost!J58</f>
        <v>2.55178761329595</v>
      </c>
      <c r="C8" s="180" t="n">
        <f aca="false">SRC_DC_013</f>
        <v>2.65</v>
      </c>
      <c r="D8" s="16" t="s">
        <v>852</v>
      </c>
      <c r="E8" s="20" t="str">
        <f aca="false">IF(B8&gt;C8,"高於參照（參照假設未知）","低於參照")</f>
        <v>低於參照</v>
      </c>
      <c r="F8" s="19" t="s">
        <v>3553</v>
      </c>
    </row>
    <row r="9" customFormat="false" ht="15" hidden="false" customHeight="true" outlineLevel="0" collapsed="false">
      <c r="A9" s="15" t="s">
        <v>3554</v>
      </c>
      <c r="B9" s="180" t="n">
        <f aca="false">DC_Cost!G58</f>
        <v>2.00846099652078</v>
      </c>
      <c r="C9" s="180" t="n">
        <f aca="false">L1!$M$30</f>
        <v>10.5</v>
      </c>
      <c r="D9" s="16" t="s">
        <v>852</v>
      </c>
      <c r="E9" s="20" t="str">
        <f aca="false">"牌價 ÷ 持有成本＝"&amp;TEXT(C9/B9,"0.0")&amp;" 倍"</f>
        <v>牌價 ÷ 持有成本＝5.2 倍</v>
      </c>
      <c r="F9" s="6" t="s">
        <v>3555</v>
      </c>
    </row>
    <row r="10" customFormat="false" ht="15" hidden="false" customHeight="true" outlineLevel="0" collapsed="false">
      <c r="A10" s="20" t="s">
        <v>3556</v>
      </c>
      <c r="B10" s="180" t="n">
        <f aca="false">DC_Cost!J58</f>
        <v>2.55178761329595</v>
      </c>
      <c r="C10" s="180" t="n">
        <f aca="false">L1!$M$31</f>
        <v>3.57</v>
      </c>
      <c r="D10" s="16" t="s">
        <v>852</v>
      </c>
      <c r="E10" s="20" t="str">
        <f aca="false">"參照 ÷ 本模型＝"&amp;TEXT(C10/B10,"0.00")</f>
        <v>參照 ÷ 本模型＝1.40</v>
      </c>
      <c r="F10" s="19" t="s">
        <v>3557</v>
      </c>
    </row>
    <row r="12" customFormat="false" ht="15" hidden="false" customHeight="true" outlineLevel="0" collapsed="false">
      <c r="A12" s="41" t="s">
        <v>3558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370</v>
      </c>
      <c r="B13" s="9" t="s">
        <v>3559</v>
      </c>
      <c r="C13" s="9" t="s">
        <v>3544</v>
      </c>
      <c r="D13" s="9" t="s">
        <v>83</v>
      </c>
      <c r="E13" s="9" t="s">
        <v>541</v>
      </c>
      <c r="F13" s="9" t="s">
        <v>463</v>
      </c>
    </row>
    <row r="14" customFormat="false" ht="15" hidden="false" customHeight="true" outlineLevel="0" collapsed="false">
      <c r="A14" s="5" t="s">
        <v>3560</v>
      </c>
      <c r="B14" s="199" t="n">
        <f aca="false">Calib!C86</f>
        <v>1</v>
      </c>
      <c r="C14" s="28" t="s">
        <v>3561</v>
      </c>
      <c r="D14" s="28" t="s">
        <v>103</v>
      </c>
      <c r="E14" s="93" t="s">
        <v>3562</v>
      </c>
      <c r="F14" s="43" t="s">
        <v>3563</v>
      </c>
    </row>
    <row r="15" customFormat="false" ht="26.25" hidden="false" customHeight="true" outlineLevel="0" collapsed="false">
      <c r="A15" s="5" t="s">
        <v>3564</v>
      </c>
      <c r="B15" s="199" t="n">
        <f aca="false">Calib!E86</f>
        <v>0.99108369917347</v>
      </c>
      <c r="C15" s="47" t="n">
        <f aca="false">SRC_PERF_004</f>
        <v>11200</v>
      </c>
      <c r="D15" s="42" t="s">
        <v>3565</v>
      </c>
      <c r="E15" s="87" t="s">
        <v>3566</v>
      </c>
      <c r="F15" s="43" t="s">
        <v>3567</v>
      </c>
    </row>
    <row r="16" customFormat="false" ht="26.25" hidden="false" customHeight="true" outlineLevel="0" collapsed="false">
      <c r="A16" s="5" t="s">
        <v>3568</v>
      </c>
      <c r="B16" s="199" t="n">
        <f aca="false">Calib!F86</f>
        <v>2.18428412747673</v>
      </c>
      <c r="C16" s="47" t="n">
        <f aca="false">SRC_PERF_001</f>
        <v>6182</v>
      </c>
      <c r="D16" s="42" t="s">
        <v>3565</v>
      </c>
      <c r="E16" s="93" t="s">
        <v>3569</v>
      </c>
      <c r="F16" s="43" t="s">
        <v>3570</v>
      </c>
    </row>
    <row r="17" customFormat="false" ht="26.25" hidden="false" customHeight="true" outlineLevel="0" collapsed="false">
      <c r="A17" s="5" t="s">
        <v>3571</v>
      </c>
      <c r="B17" s="199" t="n">
        <f aca="false">Calib!G86</f>
        <v>4.1124545381639</v>
      </c>
      <c r="C17" s="47" t="n">
        <f aca="false">SRC_PERF_002</f>
        <v>2189</v>
      </c>
      <c r="D17" s="42" t="s">
        <v>3565</v>
      </c>
      <c r="E17" s="93" t="s">
        <v>3572</v>
      </c>
      <c r="F17" s="43" t="s">
        <v>3573</v>
      </c>
    </row>
    <row r="18" customFormat="false" ht="15" hidden="false" customHeight="true" outlineLevel="0" collapsed="false">
      <c r="A18" s="5" t="s">
        <v>3574</v>
      </c>
      <c r="B18" s="199" t="n">
        <f aca="false">Calib!H86</f>
        <v>1.00253190991747</v>
      </c>
      <c r="C18" s="47" t="n">
        <f aca="false">SRC_PERF_014</f>
        <v>3795.5</v>
      </c>
      <c r="D18" s="42" t="s">
        <v>3565</v>
      </c>
      <c r="E18" s="93" t="s">
        <v>3575</v>
      </c>
      <c r="F18" s="43" t="s">
        <v>3576</v>
      </c>
    </row>
    <row r="19" customFormat="false" ht="29.25" hidden="false" customHeight="true" outlineLevel="0" collapsed="false">
      <c r="A19" s="6" t="s">
        <v>3577</v>
      </c>
      <c r="B19" s="199" t="n">
        <f aca="false">DC_Cost!J58/(Calib!C17*3600)*1000000</f>
        <v>0.0758747918114994</v>
      </c>
      <c r="C19" s="177" t="n">
        <f aca="false">SRC_PERF_011</f>
        <v>0.078</v>
      </c>
      <c r="D19" s="28" t="s">
        <v>2862</v>
      </c>
      <c r="E19" s="93" t="s">
        <v>3578</v>
      </c>
      <c r="F19" s="43" t="s">
        <v>3579</v>
      </c>
    </row>
    <row r="20" customFormat="false" ht="39" hidden="false" customHeight="true" outlineLevel="0" collapsed="false">
      <c r="A20" s="6" t="s">
        <v>3580</v>
      </c>
      <c r="B20" s="199" t="n">
        <f aca="false">Sens_Perf!C120</f>
        <v>1.56528522129431</v>
      </c>
      <c r="C20" s="177" t="n">
        <f aca="false">DC_Cost!M55/DC_Cost!J55</f>
        <v>1.12300288885056</v>
      </c>
      <c r="D20" s="28" t="s">
        <v>103</v>
      </c>
      <c r="E20" s="93" t="s">
        <v>3581</v>
      </c>
      <c r="F20" s="43" t="s">
        <v>3582</v>
      </c>
    </row>
    <row r="21" customFormat="false" ht="39" hidden="false" customHeight="true" outlineLevel="0" collapsed="false">
      <c r="A21" s="6" t="s">
        <v>3583</v>
      </c>
      <c r="B21" s="199" t="n">
        <f aca="false">DC_Cost!J11*Inputs!$E$10/72</f>
        <v>1.51111111111111</v>
      </c>
      <c r="C21" s="28" t="s">
        <v>3584</v>
      </c>
      <c r="D21" s="28" t="s">
        <v>3585</v>
      </c>
      <c r="E21" s="87" t="s">
        <v>3586</v>
      </c>
      <c r="F21" s="43" t="s">
        <v>464</v>
      </c>
    </row>
    <row r="22" customFormat="false" ht="29.25" hidden="false" customHeight="true" outlineLevel="0" collapsed="false">
      <c r="A22" s="6" t="s">
        <v>3587</v>
      </c>
      <c r="B22" s="199" t="n">
        <f aca="false">Sens_Perf!C121</f>
        <v>0.687408933936638</v>
      </c>
      <c r="C22" s="28" t="s">
        <v>3588</v>
      </c>
      <c r="D22" s="28" t="s">
        <v>103</v>
      </c>
      <c r="E22" s="93"/>
      <c r="F22" s="43" t="s">
        <v>3582</v>
      </c>
    </row>
    <row r="23" customFormat="false" ht="15" hidden="false" customHeight="true" outlineLevel="0" collapsed="false">
      <c r="A23" s="5" t="s">
        <v>3589</v>
      </c>
      <c r="B23" s="199" t="n">
        <f aca="false">Calib!C149</f>
        <v>0.702796711119185</v>
      </c>
      <c r="C23" s="28" t="s">
        <v>3561</v>
      </c>
      <c r="D23" s="28" t="s">
        <v>103</v>
      </c>
      <c r="E23" s="87" t="s">
        <v>3590</v>
      </c>
      <c r="F23" s="43" t="s">
        <v>3591</v>
      </c>
    </row>
    <row r="24" customFormat="false" ht="15" hidden="false" customHeight="true" outlineLevel="0" collapsed="false">
      <c r="A24" s="5" t="s">
        <v>3592</v>
      </c>
      <c r="B24" s="199" t="n">
        <f aca="false">Calib!C150</f>
        <v>2.5251262330147</v>
      </c>
      <c r="C24" s="185" t="n">
        <f aca="false">Calib!C151</f>
        <v>2.5748897461993</v>
      </c>
      <c r="D24" s="28" t="s">
        <v>103</v>
      </c>
      <c r="E24" s="93" t="s">
        <v>3593</v>
      </c>
      <c r="F24" s="43" t="s">
        <v>3594</v>
      </c>
    </row>
    <row r="25" customFormat="false" ht="39" hidden="false" customHeight="true" outlineLevel="0" collapsed="false">
      <c r="A25" s="5" t="s">
        <v>3595</v>
      </c>
      <c r="B25" s="199" t="n">
        <f aca="false">Calib!C152</f>
        <v>1.5</v>
      </c>
      <c r="C25" s="185" t="n">
        <f aca="false">Calib!D152</f>
        <v>1.05487728759394</v>
      </c>
      <c r="D25" s="28" t="s">
        <v>103</v>
      </c>
      <c r="E25" s="87" t="s">
        <v>3596</v>
      </c>
      <c r="F25" s="43" t="s">
        <v>3597</v>
      </c>
    </row>
    <row r="26" customFormat="false" ht="15" hidden="false" customHeight="true" outlineLevel="0" collapsed="false">
      <c r="A26" s="5" t="s">
        <v>3598</v>
      </c>
      <c r="B26" s="217" t="n">
        <f aca="false">MAX(Perf!C116:Q116)</f>
        <v>0.067482803137983</v>
      </c>
      <c r="C26" s="28" t="s">
        <v>3599</v>
      </c>
      <c r="D26" s="28" t="s">
        <v>99</v>
      </c>
      <c r="E26" s="93" t="s">
        <v>3600</v>
      </c>
      <c r="F26" s="43" t="s">
        <v>3601</v>
      </c>
    </row>
    <row r="27" customFormat="false" ht="15" hidden="false" customHeight="true" outlineLevel="0" collapsed="false">
      <c r="A27" s="6" t="s">
        <v>3602</v>
      </c>
      <c r="B27" s="199" t="n">
        <f aca="false">COUNTIF(Perf!C90:Q90,"SLO 不可達")+COUNTIF(Perf!C90:Q90,"TTFT 不可達")</f>
        <v>1</v>
      </c>
      <c r="C27" s="28" t="s">
        <v>620</v>
      </c>
      <c r="D27" s="42" t="s">
        <v>3603</v>
      </c>
      <c r="E27" s="87" t="s">
        <v>3604</v>
      </c>
      <c r="F27" s="43" t="s">
        <v>3605</v>
      </c>
    </row>
    <row r="28" customFormat="false" ht="39" hidden="false" customHeight="true" outlineLevel="0" collapsed="false">
      <c r="A28" s="5" t="s">
        <v>3606</v>
      </c>
      <c r="B28" s="199" t="n">
        <f aca="false">((8*1.32+3.96)/9)/((8*Unit_Cost!J32+Unit_Cost!J34)/9)</f>
        <v>13.4794357051153</v>
      </c>
      <c r="C28" s="28" t="s">
        <v>620</v>
      </c>
      <c r="D28" s="28" t="s">
        <v>103</v>
      </c>
      <c r="E28" s="87" t="s">
        <v>3607</v>
      </c>
      <c r="F28" s="43" t="s">
        <v>3608</v>
      </c>
    </row>
    <row r="30" customFormat="false" ht="15" hidden="false" customHeight="true" outlineLevel="0" collapsed="false">
      <c r="A30" s="41" t="s">
        <v>3609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370</v>
      </c>
      <c r="B31" s="9" t="s">
        <v>3559</v>
      </c>
      <c r="C31" s="9" t="s">
        <v>3544</v>
      </c>
      <c r="D31" s="9" t="s">
        <v>83</v>
      </c>
      <c r="E31" s="9" t="s">
        <v>541</v>
      </c>
      <c r="F31" s="9" t="s">
        <v>463</v>
      </c>
    </row>
    <row r="32" customFormat="false" ht="39" hidden="false" customHeight="true" outlineLevel="0" collapsed="false">
      <c r="A32" s="6" t="s">
        <v>3610</v>
      </c>
      <c r="B32" s="190" t="n">
        <f aca="false">3*(2*Calib!$C$101*1000000000+Calib!$C$109*Train_In!$C$43/2)*Train_In!$C$41*1000000000000/(Train_In!$C$42*1000000*3600*Spec_Rack!$C$40*1000000000000000)</f>
        <v>0.197055428667677</v>
      </c>
      <c r="C32" s="189" t="n">
        <f aca="false">Training!C16</f>
        <v>0.25</v>
      </c>
      <c r="D32" s="28" t="s">
        <v>99</v>
      </c>
      <c r="E32" s="93" t="s">
        <v>3611</v>
      </c>
      <c r="F32" s="43" t="s">
        <v>985</v>
      </c>
    </row>
    <row r="33" customFormat="false" ht="26.25" hidden="false" customHeight="true" outlineLevel="0" collapsed="false">
      <c r="A33" s="6" t="s">
        <v>3612</v>
      </c>
      <c r="B33" s="199" t="n">
        <f aca="false">Training!N78</f>
        <v>1.12717162997901</v>
      </c>
      <c r="C33" s="49" t="n">
        <f aca="false">L1!$M$33</f>
        <v>1</v>
      </c>
      <c r="D33" s="28" t="s">
        <v>103</v>
      </c>
      <c r="E33" s="87" t="s">
        <v>3613</v>
      </c>
      <c r="F33" s="43" t="s">
        <v>3614</v>
      </c>
    </row>
    <row r="34" customFormat="false" ht="26.25" hidden="false" customHeight="true" outlineLevel="0" collapsed="false">
      <c r="A34" s="6" t="s">
        <v>3615</v>
      </c>
      <c r="B34" s="199" t="n">
        <f aca="false">Training!M78</f>
        <v>0.371397626434424</v>
      </c>
      <c r="C34" s="49" t="n">
        <f aca="false">L1!$M$32</f>
        <v>0.0551801801801802</v>
      </c>
      <c r="D34" s="28" t="s">
        <v>103</v>
      </c>
      <c r="E34" s="87" t="s">
        <v>3616</v>
      </c>
      <c r="F34" s="43" t="s">
        <v>3617</v>
      </c>
    </row>
    <row r="35" customFormat="false" ht="15" hidden="false" customHeight="true" outlineLevel="0" collapsed="false">
      <c r="A35" s="6" t="s">
        <v>3618</v>
      </c>
      <c r="B35" s="190" t="n">
        <f aca="false">Training!N77</f>
        <v>0.0679835504547044</v>
      </c>
      <c r="C35" s="205" t="s">
        <v>3619</v>
      </c>
      <c r="D35" s="28" t="s">
        <v>99</v>
      </c>
      <c r="E35" s="93" t="s">
        <v>3620</v>
      </c>
      <c r="F35" s="53" t="s">
        <v>3621</v>
      </c>
    </row>
    <row r="36" customFormat="false" ht="29.25" hidden="false" customHeight="true" outlineLevel="0" collapsed="false">
      <c r="A36" s="5" t="s">
        <v>3622</v>
      </c>
      <c r="B36" s="190" t="n">
        <f aca="false">IF(AND(ISNUMBER(Training!N111),ISNUMBER(Training!N110)),Training!N111-Training!N110,Training!N111)</f>
        <v>0.252262860133895</v>
      </c>
      <c r="C36" s="205" t="s">
        <v>3623</v>
      </c>
      <c r="D36" s="28" t="s">
        <v>99</v>
      </c>
      <c r="E36" s="87" t="s">
        <v>3624</v>
      </c>
      <c r="F36" s="43" t="s">
        <v>3625</v>
      </c>
    </row>
    <row r="37" customFormat="false" ht="15" hidden="false" customHeight="true" outlineLevel="0" collapsed="false">
      <c r="A37" s="5" t="s">
        <v>3626</v>
      </c>
      <c r="B37" s="190" t="n">
        <f aca="false">1/Train_In!$C$13</f>
        <v>0.125</v>
      </c>
      <c r="C37" s="189" t="str">
        <f aca="false">TEXT(L1!$M$34*100,"0.0")&amp;"%–"&amp;TEXT(L1!$N$34*100,"0.0")&amp;"%"</f>
        <v>9.6%–22.6%</v>
      </c>
      <c r="D37" s="28" t="s">
        <v>99</v>
      </c>
      <c r="E37" s="87" t="s">
        <v>3627</v>
      </c>
      <c r="F37" s="43" t="s">
        <v>3628</v>
      </c>
    </row>
    <row r="38" customFormat="false" ht="36.75" hidden="false" customHeight="true" outlineLevel="0" collapsed="false">
      <c r="A38" s="5" t="s">
        <v>3629</v>
      </c>
      <c r="B38" s="199" t="n">
        <f aca="false">Train_In!$C$47/(Training!N34*1000000000)/1000000000000</f>
        <v>438.443429242364</v>
      </c>
      <c r="C38" s="49" t="n">
        <f aca="false">Training!N31</f>
        <v>60</v>
      </c>
      <c r="D38" s="28" t="s">
        <v>954</v>
      </c>
      <c r="E38" s="87" t="s">
        <v>3630</v>
      </c>
      <c r="F38" s="43" t="s">
        <v>3631</v>
      </c>
    </row>
    <row r="39" customFormat="false" ht="29.25" hidden="false" customHeight="true" outlineLevel="0" collapsed="false">
      <c r="A39" s="6" t="s">
        <v>3632</v>
      </c>
      <c r="B39" s="190" t="n">
        <f aca="false">Training!N117</f>
        <v>0.00500223043232874</v>
      </c>
      <c r="C39" s="189" t="n">
        <f aca="false">Training!K117</f>
        <v>0.00819830093710954</v>
      </c>
      <c r="D39" s="28" t="s">
        <v>99</v>
      </c>
      <c r="E39" s="93" t="s">
        <v>3633</v>
      </c>
      <c r="F39" s="43" t="s">
        <v>3634</v>
      </c>
    </row>
    <row r="41" customFormat="false" ht="15" hidden="false" customHeight="true" outlineLevel="0" collapsed="false">
      <c r="A41" s="41" t="s">
        <v>3635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370</v>
      </c>
      <c r="B42" s="9" t="s">
        <v>3559</v>
      </c>
      <c r="C42" s="9" t="s">
        <v>3544</v>
      </c>
      <c r="D42" s="9" t="s">
        <v>83</v>
      </c>
      <c r="E42" s="9" t="s">
        <v>541</v>
      </c>
      <c r="F42" s="9" t="s">
        <v>463</v>
      </c>
      <c r="H42" s="9" t="s">
        <v>3636</v>
      </c>
    </row>
    <row r="43" customFormat="false" ht="51.75" hidden="false" customHeight="true" outlineLevel="0" collapsed="false">
      <c r="A43" s="6" t="s">
        <v>3637</v>
      </c>
      <c r="B43" s="199" t="n">
        <f aca="false">IF(AND(ISNUMBER(Theory_Rev!D67),ISNUMBER(Theory_Rev!G67)),$I$46*Theory_Rev!D67+(1-$I$46)*Theory_Rev!G67,"SLO 不可達")</f>
        <v>10.5538338262047</v>
      </c>
      <c r="C43" s="49" t="n">
        <f aca="false">L1!$M$35</f>
        <v>10.456</v>
      </c>
      <c r="D43" s="28" t="s">
        <v>3638</v>
      </c>
      <c r="E43" s="93" t="s">
        <v>3639</v>
      </c>
      <c r="F43" s="43" t="s">
        <v>3640</v>
      </c>
      <c r="H43" s="43" t="s">
        <v>3641</v>
      </c>
      <c r="I43" s="185" t="n">
        <f aca="false">SRC_DEM_007</f>
        <v>13.07</v>
      </c>
    </row>
    <row r="44" customFormat="false" ht="43.5" hidden="false" customHeight="true" outlineLevel="0" collapsed="false">
      <c r="A44" s="6" t="s">
        <v>3642</v>
      </c>
      <c r="B44" s="199" t="n">
        <f aca="false">IF(ISNUMBER(Unit_Cost!D34),INDEX(B4_MktOut,8,1)/Unit_Cost!D34,"SLO 不可達")</f>
        <v>0.751504909325142</v>
      </c>
      <c r="C44" s="218" t="s">
        <v>3643</v>
      </c>
      <c r="D44" s="28" t="s">
        <v>103</v>
      </c>
      <c r="E44" s="87" t="s">
        <v>3644</v>
      </c>
      <c r="F44" s="43" t="s">
        <v>3645</v>
      </c>
      <c r="H44" s="43" t="s">
        <v>3646</v>
      </c>
      <c r="I44" s="185" t="n">
        <f aca="false">SRC_DEM_008</f>
        <v>0.6</v>
      </c>
    </row>
    <row r="45" customFormat="false" ht="29.25" hidden="false" customHeight="true" outlineLevel="0" collapsed="false">
      <c r="A45" s="6" t="s">
        <v>3647</v>
      </c>
      <c r="B45" s="199" t="n">
        <f aca="false">IF(ISNUMBER(Unit_Cost!D31),INDEX(B4_MktOut,8,1)*B4_OffPeak/Unit_Cost!D31,"SLO 不可達")</f>
        <v>0.626254091104285</v>
      </c>
      <c r="C45" s="218" t="s">
        <v>3643</v>
      </c>
      <c r="D45" s="28" t="s">
        <v>103</v>
      </c>
      <c r="E45" s="93"/>
      <c r="F45" s="43" t="s">
        <v>3648</v>
      </c>
      <c r="H45" s="43" t="s">
        <v>3649</v>
      </c>
      <c r="I45" s="185" t="n">
        <f aca="false">SRC_DEM_009</f>
        <v>1.9</v>
      </c>
    </row>
    <row r="46" customFormat="false" ht="43.5" hidden="false" customHeight="true" outlineLevel="0" collapsed="false">
      <c r="A46" s="6" t="s">
        <v>3650</v>
      </c>
      <c r="B46" s="199" t="n">
        <f aca="false">IF(ISNUMBER(Unit_Cost!D21),INDEX(B4_MktOut,7,1)/Unit_Cost!D21,"SLO 不可達")</f>
        <v>0.78155738149</v>
      </c>
      <c r="C46" s="218" t="s">
        <v>3643</v>
      </c>
      <c r="D46" s="28" t="s">
        <v>103</v>
      </c>
      <c r="E46" s="87" t="s">
        <v>3651</v>
      </c>
      <c r="F46" s="43" t="s">
        <v>3648</v>
      </c>
      <c r="H46" s="43" t="s">
        <v>3652</v>
      </c>
      <c r="I46" s="52" t="n">
        <v>0.57</v>
      </c>
      <c r="J46" s="43" t="s">
        <v>3653</v>
      </c>
    </row>
    <row r="47" customFormat="false" ht="15" hidden="false" customHeight="true" outlineLevel="0" collapsed="false">
      <c r="A47" s="5" t="s">
        <v>3654</v>
      </c>
      <c r="B47" s="199" t="str">
        <f aca="false">Price_Frontier!C26</f>
        <v>GPT-6 Luna</v>
      </c>
      <c r="C47" s="218" t="s">
        <v>620</v>
      </c>
      <c r="D47" s="42"/>
      <c r="E47" s="87" t="s">
        <v>3655</v>
      </c>
      <c r="F47" s="43" t="s">
        <v>3656</v>
      </c>
    </row>
    <row r="48" customFormat="false" ht="15" hidden="false" customHeight="true" outlineLevel="0" collapsed="false">
      <c r="A48" s="5" t="s">
        <v>3657</v>
      </c>
      <c r="B48" s="199" t="str">
        <f aca="false">Price_Frontier!D26</f>
        <v>GPT-6 Sol</v>
      </c>
      <c r="C48" s="218" t="s">
        <v>620</v>
      </c>
      <c r="D48" s="42"/>
      <c r="E48" s="93"/>
      <c r="F48" s="43" t="s">
        <v>3656</v>
      </c>
    </row>
    <row r="49" customFormat="false" ht="39" hidden="false" customHeight="true" outlineLevel="0" collapsed="false">
      <c r="A49" s="5" t="s">
        <v>3658</v>
      </c>
      <c r="B49" s="199" t="str">
        <f aca="false">Price_Frontier!E26</f>
        <v>Claude Fable 5.1</v>
      </c>
      <c r="C49" s="218" t="s">
        <v>620</v>
      </c>
      <c r="D49" s="42"/>
      <c r="E49" s="87" t="s">
        <v>3659</v>
      </c>
      <c r="F49" s="43" t="s">
        <v>3656</v>
      </c>
    </row>
    <row r="50" customFormat="false" ht="26.25" hidden="false" customHeight="true" outlineLevel="0" collapsed="false">
      <c r="A50" s="5" t="s">
        <v>3660</v>
      </c>
      <c r="B50" s="199" t="n">
        <f aca="false">Price_Frontier!C33</f>
        <v>1.29646017699115</v>
      </c>
      <c r="C50" s="218" t="s">
        <v>3661</v>
      </c>
      <c r="D50" s="28" t="s">
        <v>103</v>
      </c>
      <c r="E50" s="87" t="s">
        <v>3662</v>
      </c>
      <c r="F50" s="43" t="s">
        <v>3656</v>
      </c>
    </row>
    <row r="51" customFormat="false" ht="29.25" hidden="false" customHeight="true" outlineLevel="0" collapsed="false">
      <c r="A51" s="5" t="s">
        <v>3663</v>
      </c>
      <c r="B51" s="199" t="n">
        <f aca="false">Fleet_1GW!M34</f>
        <v>12.1291102743968</v>
      </c>
      <c r="C51" s="218" t="s">
        <v>3664</v>
      </c>
      <c r="D51" s="42" t="s">
        <v>329</v>
      </c>
      <c r="E51" s="93" t="s">
        <v>3665</v>
      </c>
      <c r="F51" s="43" t="s">
        <v>3666</v>
      </c>
    </row>
    <row r="52" customFormat="false" ht="29.25" hidden="false" customHeight="true" outlineLevel="0" collapsed="false">
      <c r="A52" s="6" t="s">
        <v>3667</v>
      </c>
      <c r="B52" s="199" t="n">
        <f aca="false">Fleet_1GW!M30</f>
        <v>0</v>
      </c>
      <c r="C52" s="218" t="s">
        <v>3668</v>
      </c>
      <c r="D52" s="28" t="s">
        <v>91</v>
      </c>
      <c r="E52" s="93"/>
      <c r="F52" s="43" t="s">
        <v>3666</v>
      </c>
    </row>
    <row r="53" customFormat="false" ht="29.25" hidden="false" customHeight="true" outlineLevel="0" collapsed="false">
      <c r="A53" s="5" t="s">
        <v>3669</v>
      </c>
      <c r="B53" s="191" t="n">
        <f aca="false">IF(ISNUMBER(Amortize!M22),Amortize!M22/INDEX(B4_EffRef,1,2),Amortize!M22)</f>
        <v>0.00436800867932075</v>
      </c>
      <c r="C53" s="218" t="s">
        <v>620</v>
      </c>
      <c r="D53" s="28" t="s">
        <v>99</v>
      </c>
      <c r="E53" s="93" t="s">
        <v>3670</v>
      </c>
      <c r="F53" s="43" t="s">
        <v>3671</v>
      </c>
    </row>
    <row r="54" customFormat="false" ht="39" hidden="false" customHeight="true" outlineLevel="0" collapsed="false">
      <c r="A54" s="6" t="s">
        <v>3672</v>
      </c>
      <c r="B54" s="199" t="n">
        <f aca="false">Amortize!M41</f>
        <v>8.17918362593439</v>
      </c>
      <c r="C54" s="218" t="s">
        <v>3673</v>
      </c>
      <c r="D54" s="28" t="s">
        <v>103</v>
      </c>
      <c r="E54" s="93" t="s">
        <v>3674</v>
      </c>
      <c r="F54" s="43" t="s">
        <v>3671</v>
      </c>
    </row>
    <row r="55" customFormat="false" ht="29.25" hidden="false" customHeight="true" outlineLevel="0" collapsed="false">
      <c r="A55" s="6" t="s">
        <v>3675</v>
      </c>
      <c r="B55" s="191" t="n">
        <f aca="false">IF(ISNUMBER(Amortize!M47),Amortize!M47/INDEX(B4_EffRef,1,3),Amortize!M47)</f>
        <v>0.178125569243108</v>
      </c>
      <c r="C55" s="218" t="s">
        <v>620</v>
      </c>
      <c r="D55" s="28" t="s">
        <v>99</v>
      </c>
      <c r="E55" s="93" t="s">
        <v>3676</v>
      </c>
      <c r="F55" s="43" t="s">
        <v>3671</v>
      </c>
    </row>
    <row r="56" customFormat="false" ht="29.25" hidden="false" customHeight="true" outlineLevel="0" collapsed="false">
      <c r="A56" s="5" t="s">
        <v>3677</v>
      </c>
      <c r="B56" s="199" t="n">
        <f aca="false">Theory_Rev!M64+Theory_Rev!M65+Theory_Rev!M66-Theory_Rev!M67</f>
        <v>0</v>
      </c>
      <c r="C56" s="218" t="s">
        <v>3668</v>
      </c>
      <c r="D56" s="28" t="s">
        <v>1814</v>
      </c>
      <c r="E56" s="93"/>
      <c r="F56" s="43" t="s">
        <v>3678</v>
      </c>
    </row>
    <row r="58" customFormat="false" ht="15" hidden="false" customHeight="true" outlineLevel="0" collapsed="false">
      <c r="A58" s="41" t="s">
        <v>3679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370</v>
      </c>
      <c r="B59" s="9" t="s">
        <v>3559</v>
      </c>
      <c r="C59" s="9" t="s">
        <v>3544</v>
      </c>
      <c r="D59" s="9" t="s">
        <v>83</v>
      </c>
      <c r="E59" s="9" t="s">
        <v>541</v>
      </c>
      <c r="F59" s="9" t="s">
        <v>463</v>
      </c>
    </row>
    <row r="60" customFormat="false" ht="39" hidden="false" customHeight="true" outlineLevel="0" collapsed="false">
      <c r="A60" s="5" t="s">
        <v>3680</v>
      </c>
      <c r="B60" s="219" t="n">
        <f aca="false">B5_W</f>
        <v>0</v>
      </c>
      <c r="C60" s="218" t="s">
        <v>3668</v>
      </c>
      <c r="D60" s="28" t="s">
        <v>103</v>
      </c>
      <c r="E60" s="87" t="s">
        <v>3681</v>
      </c>
      <c r="F60" s="43" t="s">
        <v>3682</v>
      </c>
    </row>
    <row r="61" customFormat="false" ht="29.25" hidden="false" customHeight="true" outlineLevel="0" collapsed="false">
      <c r="A61" s="6" t="s">
        <v>3683</v>
      </c>
      <c r="B61" s="199" t="n">
        <f aca="false">ABS(Workload!C35-Harness!C21)+ABS(Workload!D35-Harness!D21)+ABS(Workload!E35-Harness!E21)+ABS(Workload!F35-Harness!F21)+ABS(Workload!G35-Harness!G21)</f>
        <v>0</v>
      </c>
      <c r="C61" s="218" t="s">
        <v>3684</v>
      </c>
      <c r="D61" s="28" t="s">
        <v>292</v>
      </c>
      <c r="E61" s="87" t="s">
        <v>3685</v>
      </c>
      <c r="F61" s="43" t="s">
        <v>3686</v>
      </c>
    </row>
    <row r="62" customFormat="false" ht="39" hidden="false" customHeight="true" outlineLevel="0" collapsed="false">
      <c r="A62" s="6" t="s">
        <v>3687</v>
      </c>
      <c r="B62" s="199" t="n">
        <f aca="false">Harness!G45</f>
        <v>0.492530120481928</v>
      </c>
      <c r="C62" s="49" t="n">
        <f aca="false">Har_In!E72</f>
        <v>0.51</v>
      </c>
      <c r="D62" s="28" t="s">
        <v>103</v>
      </c>
      <c r="E62" s="93" t="s">
        <v>3688</v>
      </c>
      <c r="F62" s="43" t="s">
        <v>1978</v>
      </c>
    </row>
    <row r="63" customFormat="false" ht="39" hidden="false" customHeight="true" outlineLevel="0" collapsed="false">
      <c r="A63" s="6" t="s">
        <v>3689</v>
      </c>
      <c r="B63" s="199" t="n">
        <f aca="false">Harness!G138</f>
        <v>0.519797101771478</v>
      </c>
      <c r="C63" s="49" t="n">
        <f aca="false">(Har_In!D71/Har_In!C71)/(Har_In!D70/Har_In!C70)</f>
        <v>0.422310694422661</v>
      </c>
      <c r="D63" s="28" t="s">
        <v>103</v>
      </c>
      <c r="E63" s="93" t="s">
        <v>3690</v>
      </c>
      <c r="F63" s="43" t="s">
        <v>1978</v>
      </c>
    </row>
    <row r="64" customFormat="false" ht="39" hidden="false" customHeight="true" outlineLevel="0" collapsed="false">
      <c r="A64" s="6" t="s">
        <v>3691</v>
      </c>
      <c r="B64" s="199" t="n">
        <f aca="false">((1/Har_In!C70-1)/(1/Har_In!C71-1))^(1/B5_Beta)</f>
        <v>145.519176037217</v>
      </c>
      <c r="C64" s="218" t="s">
        <v>3692</v>
      </c>
      <c r="D64" s="28" t="s">
        <v>103</v>
      </c>
      <c r="E64" s="93" t="s">
        <v>3693</v>
      </c>
      <c r="F64" s="43" t="s">
        <v>3694</v>
      </c>
    </row>
    <row r="65" customFormat="false" ht="15" hidden="false" customHeight="true" outlineLevel="0" collapsed="false">
      <c r="A65" s="6" t="s">
        <v>3695</v>
      </c>
      <c r="B65" s="199" t="n">
        <f aca="false">AVERAGE(Har_In!F77:F80)</f>
        <v>0.80134078201291</v>
      </c>
      <c r="C65" s="218" t="n">
        <f aca="false">B5_Beta</f>
        <v>0.75</v>
      </c>
      <c r="D65" s="28" t="s">
        <v>103</v>
      </c>
      <c r="E65" s="93" t="s">
        <v>3696</v>
      </c>
      <c r="F65" s="43" t="s">
        <v>1997</v>
      </c>
    </row>
    <row r="66" customFormat="false" ht="29.25" hidden="false" customHeight="true" outlineLevel="0" collapsed="false">
      <c r="A66" s="6" t="s">
        <v>3697</v>
      </c>
      <c r="B66" s="190" t="n">
        <f aca="false">Harness!G62</f>
        <v>0.627115119175411</v>
      </c>
      <c r="C66" s="218" t="s">
        <v>620</v>
      </c>
      <c r="D66" s="28" t="s">
        <v>99</v>
      </c>
      <c r="E66" s="93" t="s">
        <v>3698</v>
      </c>
      <c r="F66" s="43" t="s">
        <v>3699</v>
      </c>
    </row>
    <row r="67" customFormat="false" ht="29.25" hidden="false" customHeight="true" outlineLevel="0" collapsed="false">
      <c r="A67" s="5" t="s">
        <v>3700</v>
      </c>
      <c r="B67" s="199" t="str">
        <f aca="false">Harness!G152</f>
        <v>Sol｜選定</v>
      </c>
      <c r="C67" s="49" t="str">
        <f aca="false">Harness!G148</f>
        <v>Luna｜選定</v>
      </c>
      <c r="D67" s="42"/>
      <c r="E67" s="93" t="s">
        <v>3701</v>
      </c>
      <c r="F67" s="43" t="s">
        <v>3702</v>
      </c>
    </row>
    <row r="68" customFormat="false" ht="29.25" hidden="false" customHeight="true" outlineLevel="0" collapsed="false">
      <c r="A68" s="6" t="s">
        <v>3703</v>
      </c>
      <c r="B68" s="199" t="n">
        <f aca="false">MIN(Sens_Har!C37:Z37)</f>
        <v>0.460605957450429</v>
      </c>
      <c r="C68" s="49" t="n">
        <f aca="false">MAX(Sens_Har!C37:Z37)</f>
        <v>1.41607419998802</v>
      </c>
      <c r="D68" s="28" t="s">
        <v>103</v>
      </c>
      <c r="E68" s="93" t="s">
        <v>3704</v>
      </c>
      <c r="F68" s="43" t="s">
        <v>3705</v>
      </c>
    </row>
    <row r="69" customFormat="false" ht="26.25" hidden="false" customHeight="true" outlineLevel="0" collapsed="false">
      <c r="A69" s="5" t="s">
        <v>3706</v>
      </c>
      <c r="B69" s="204" t="n">
        <f aca="false">B5_PFloor</f>
        <v>0.5</v>
      </c>
      <c r="C69" s="218" t="s">
        <v>3707</v>
      </c>
      <c r="D69" s="28" t="s">
        <v>99</v>
      </c>
      <c r="E69" s="93" t="s">
        <v>3708</v>
      </c>
      <c r="F69" s="43" t="s">
        <v>3709</v>
      </c>
    </row>
    <row r="70" customFormat="false" ht="29.25" hidden="false" customHeight="true" outlineLevel="0" collapsed="false">
      <c r="A70" s="5" t="s">
        <v>3710</v>
      </c>
      <c r="B70" s="199" t="n">
        <f aca="false">COUNTIF(Harness!C152:G152,"無合格")</f>
        <v>0</v>
      </c>
      <c r="C70" s="218" t="s">
        <v>3711</v>
      </c>
      <c r="D70" s="42"/>
      <c r="E70" s="87" t="s">
        <v>3712</v>
      </c>
      <c r="F70" s="43" t="s">
        <v>3702</v>
      </c>
    </row>
    <row r="72" customFormat="false" ht="15" hidden="false" customHeight="true" outlineLevel="0" collapsed="false">
      <c r="A72" s="41" t="s">
        <v>3713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3714</v>
      </c>
      <c r="B73" s="9" t="s">
        <v>3715</v>
      </c>
      <c r="C73" s="9" t="s">
        <v>3716</v>
      </c>
      <c r="D73" s="9" t="s">
        <v>3717</v>
      </c>
      <c r="E73" s="9" t="s">
        <v>3718</v>
      </c>
    </row>
    <row r="74" customFormat="false" ht="15" hidden="false" customHeight="true" outlineLevel="0" collapsed="false">
      <c r="A74" s="28" t="s">
        <v>3719</v>
      </c>
      <c r="B74" s="42" t="s">
        <v>3720</v>
      </c>
      <c r="C74" s="8" t="s">
        <v>3721</v>
      </c>
      <c r="D74" s="30" t="n">
        <f aca="false">COUNTIF(Gov_Map!$V$5:$V$700,1)</f>
        <v>0</v>
      </c>
      <c r="E74" s="43" t="s">
        <v>3722</v>
      </c>
    </row>
    <row r="75" customFormat="false" ht="15" hidden="false" customHeight="true" outlineLevel="0" collapsed="false">
      <c r="A75" s="28" t="s">
        <v>3723</v>
      </c>
      <c r="B75" s="28" t="s">
        <v>3724</v>
      </c>
      <c r="C75" s="8" t="s">
        <v>3721</v>
      </c>
      <c r="D75" s="30" t="n">
        <f aca="false">COUNTIF(Gov_Map!$W$5:$W$700,1)</f>
        <v>0</v>
      </c>
      <c r="E75" s="43" t="s">
        <v>3725</v>
      </c>
    </row>
    <row r="76" customFormat="false" ht="15" hidden="false" customHeight="true" outlineLevel="0" collapsed="false">
      <c r="A76" s="28" t="s">
        <v>3726</v>
      </c>
      <c r="B76" s="28" t="s">
        <v>3727</v>
      </c>
      <c r="C76" s="8" t="s">
        <v>3721</v>
      </c>
      <c r="D76" s="30" t="n">
        <f aca="false">COUNTIF(Gov_Map!$X$5:$X$700,1)</f>
        <v>0</v>
      </c>
      <c r="E76" s="43" t="s">
        <v>3728</v>
      </c>
    </row>
    <row r="77" customFormat="false" ht="15" hidden="false" customHeight="true" outlineLevel="0" collapsed="false">
      <c r="A77" s="28" t="s">
        <v>3729</v>
      </c>
      <c r="B77" s="28" t="s">
        <v>3730</v>
      </c>
      <c r="C77" s="8" t="s">
        <v>3721</v>
      </c>
      <c r="D77" s="30" t="n">
        <f aca="false">COUNTIF(Gov_Map!$Y$5:$Y$700,1)</f>
        <v>0</v>
      </c>
      <c r="E77" s="43" t="s">
        <v>3725</v>
      </c>
    </row>
    <row r="78" customFormat="false" ht="15" hidden="false" customHeight="true" outlineLevel="0" collapsed="false">
      <c r="A78" s="28" t="s">
        <v>3731</v>
      </c>
      <c r="B78" s="28" t="s">
        <v>3732</v>
      </c>
      <c r="C78" s="8" t="s">
        <v>3721</v>
      </c>
      <c r="D78" s="30" t="n">
        <f aca="false">COUNTIF(Gov_Map!$Z$5:$Z$700,1)</f>
        <v>0</v>
      </c>
      <c r="E78" s="43" t="s">
        <v>3725</v>
      </c>
    </row>
    <row r="79" customFormat="false" ht="15" hidden="false" customHeight="true" outlineLevel="0" collapsed="false">
      <c r="A79" s="28" t="s">
        <v>3733</v>
      </c>
      <c r="B79" s="42" t="s">
        <v>3734</v>
      </c>
      <c r="C79" s="8" t="s">
        <v>3721</v>
      </c>
      <c r="D79" s="30" t="n">
        <f aca="false">COUNTIF(Gov_Map!$AA$5:$AA$700,1)</f>
        <v>0</v>
      </c>
      <c r="E79" s="43" t="s">
        <v>3735</v>
      </c>
    </row>
    <row r="80" customFormat="false" ht="15" hidden="false" customHeight="true" outlineLevel="0" collapsed="false">
      <c r="A80" s="28" t="s">
        <v>3736</v>
      </c>
      <c r="B80" s="42" t="s">
        <v>3737</v>
      </c>
      <c r="C80" s="8" t="s">
        <v>3721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3" t="s">
        <v>3738</v>
      </c>
    </row>
    <row r="81" customFormat="false" ht="15" hidden="false" customHeight="true" outlineLevel="0" collapsed="false">
      <c r="A81" s="28" t="s">
        <v>3739</v>
      </c>
      <c r="B81" s="28" t="s">
        <v>3740</v>
      </c>
      <c r="C81" s="8" t="s">
        <v>3721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3" t="s">
        <v>3741</v>
      </c>
    </row>
    <row r="82" customFormat="false" ht="15" hidden="false" customHeight="true" outlineLevel="0" collapsed="false">
      <c r="A82" s="28" t="s">
        <v>3742</v>
      </c>
      <c r="B82" s="42" t="s">
        <v>3743</v>
      </c>
      <c r="C82" s="8" t="s">
        <v>3721</v>
      </c>
      <c r="D82" s="30" t="n">
        <f aca="false">COUNTIF(Gov_Map!$AB$5:$AB$700,1)</f>
        <v>0</v>
      </c>
      <c r="E82" s="43" t="s">
        <v>3744</v>
      </c>
    </row>
    <row r="83" customFormat="false" ht="15" hidden="false" customHeight="true" outlineLevel="0" collapsed="false">
      <c r="A83" s="28" t="s">
        <v>3745</v>
      </c>
      <c r="B83" s="42" t="s">
        <v>3746</v>
      </c>
      <c r="C83" s="8" t="s">
        <v>3721</v>
      </c>
      <c r="D83" s="30" t="n">
        <f aca="false">COUNTIF(Gov_Map!$AC$5:$AC$700,1)</f>
        <v>0</v>
      </c>
      <c r="E83" s="43" t="s">
        <v>3747</v>
      </c>
    </row>
    <row r="84" customFormat="false" ht="15" hidden="false" customHeight="true" outlineLevel="0" collapsed="false">
      <c r="A84" s="28" t="s">
        <v>3748</v>
      </c>
      <c r="B84" s="28" t="s">
        <v>3749</v>
      </c>
      <c r="C84" s="8" t="s">
        <v>3721</v>
      </c>
      <c r="D84" s="30" t="n">
        <v>0</v>
      </c>
      <c r="E84" s="53" t="s">
        <v>3750</v>
      </c>
    </row>
    <row r="85" customFormat="false" ht="15" hidden="false" customHeight="true" outlineLevel="0" collapsed="false">
      <c r="A85" s="28" t="s">
        <v>3751</v>
      </c>
      <c r="B85" s="42" t="s">
        <v>3752</v>
      </c>
      <c r="C85" s="8" t="s">
        <v>3721</v>
      </c>
      <c r="D85" s="30" t="n">
        <f aca="false">COUNTIF(Gov_Map!$AE$5:$AE$700,1)</f>
        <v>0</v>
      </c>
      <c r="E85" s="43" t="s">
        <v>3725</v>
      </c>
    </row>
    <row r="86" customFormat="false" ht="15" hidden="false" customHeight="true" outlineLevel="0" collapsed="false">
      <c r="A86" s="28" t="s">
        <v>3753</v>
      </c>
      <c r="B86" s="28" t="s">
        <v>3754</v>
      </c>
      <c r="C86" s="8" t="s">
        <v>3721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$128:$A$400,"&lt;&gt;—")-COUNTIF(SRC_Demand!$A$128:$A$400,"")</f>
        <v>0</v>
      </c>
      <c r="E86" s="53" t="s">
        <v>3755</v>
      </c>
    </row>
    <row r="87" customFormat="false" ht="15" hidden="false" customHeight="true" outlineLevel="0" collapsed="false">
      <c r="A87" s="28" t="s">
        <v>3756</v>
      </c>
      <c r="B87" s="42" t="s">
        <v>3757</v>
      </c>
      <c r="C87" s="28" t="s">
        <v>3758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269</v>
      </c>
      <c r="E87" s="43" t="s">
        <v>3759</v>
      </c>
    </row>
    <row r="88" customFormat="false" ht="15" hidden="false" customHeight="true" outlineLevel="0" collapsed="false">
      <c r="A88" s="28" t="s">
        <v>3760</v>
      </c>
      <c r="B88" s="28" t="s">
        <v>3761</v>
      </c>
      <c r="C88" s="28" t="s">
        <v>3758</v>
      </c>
      <c r="D88" s="30" t="n">
        <f aca="false">COUNTIF(Gov_Map!$AD$5:$AD$700,1)</f>
        <v>0</v>
      </c>
      <c r="E88" s="43" t="s">
        <v>3762</v>
      </c>
    </row>
    <row r="89" customFormat="false" ht="15" hidden="false" customHeight="true" outlineLevel="0" collapsed="false">
      <c r="A89" s="28" t="s">
        <v>3763</v>
      </c>
      <c r="B89" s="28" t="s">
        <v>3764</v>
      </c>
      <c r="C89" s="28" t="s">
        <v>3765</v>
      </c>
      <c r="D89" s="30" t="n">
        <f aca="false">COUNTIF(DB_Evidence!$L$5:$L$500,"待判定")</f>
        <v>4</v>
      </c>
      <c r="E89" s="43" t="s">
        <v>3766</v>
      </c>
    </row>
    <row r="90" customFormat="false" ht="15" hidden="false" customHeight="true" outlineLevel="0" collapsed="false">
      <c r="A90" s="28" t="s">
        <v>3767</v>
      </c>
      <c r="B90" s="28" t="s">
        <v>3768</v>
      </c>
      <c r="C90" s="28" t="s">
        <v>3765</v>
      </c>
      <c r="D90" s="30" t="n">
        <f aca="false">COUNTIF(DB_Evidence!$L$5:$L$500,"待 Andy")</f>
        <v>0</v>
      </c>
      <c r="E90" s="43" t="s">
        <v>3766</v>
      </c>
    </row>
    <row r="91" customFormat="false" ht="15" hidden="false" customHeight="true" outlineLevel="0" collapsed="false">
      <c r="A91" s="28" t="s">
        <v>3769</v>
      </c>
      <c r="B91" s="28" t="s">
        <v>3770</v>
      </c>
      <c r="C91" s="28" t="s">
        <v>3765</v>
      </c>
      <c r="D91" s="30" t="n">
        <f aca="false">COUNTIF(L1!$P$5:$P$200,"低於外部區間")+COUNTIF(L1!$P$5:$P$200,"高於外部區間")+COUNTIF(L1!$P$5:$P$200,"差距 &gt;20%")</f>
        <v>18</v>
      </c>
      <c r="E91" s="43" t="s">
        <v>3771</v>
      </c>
    </row>
    <row r="92" customFormat="false" ht="15" hidden="false" customHeight="true" outlineLevel="0" collapsed="false">
      <c r="A92" s="28" t="s">
        <v>3772</v>
      </c>
      <c r="B92" s="42" t="s">
        <v>3773</v>
      </c>
      <c r="C92" s="28" t="s">
        <v>3765</v>
      </c>
      <c r="D92" s="30" t="n">
        <f aca="false">COUNTIF(Gov_Map!$F$5:$F$700,"原始數據（G0-2 保留）")</f>
        <v>14</v>
      </c>
      <c r="E92" s="43" t="s">
        <v>3725</v>
      </c>
    </row>
    <row r="93" customFormat="false" ht="15" hidden="false" customHeight="true" outlineLevel="0" collapsed="false">
      <c r="A93" s="28" t="s">
        <v>3774</v>
      </c>
      <c r="B93" s="28" t="s">
        <v>3775</v>
      </c>
      <c r="C93" s="28" t="s">
        <v>3765</v>
      </c>
      <c r="D93" s="30" t="n">
        <f aca="false">COUNTIF(Gov_Map!$F$5:$F$700,"Derived（待改公式）")</f>
        <v>0</v>
      </c>
      <c r="E93" s="43" t="s">
        <v>3776</v>
      </c>
    </row>
    <row r="94" customFormat="false" ht="15" hidden="false" customHeight="true" outlineLevel="0" collapsed="false">
      <c r="A94" s="28" t="s">
        <v>3777</v>
      </c>
      <c r="B94" s="42" t="s">
        <v>3778</v>
      </c>
      <c r="C94" s="28" t="s">
        <v>3765</v>
      </c>
      <c r="D94" s="30" t="n">
        <f aca="false">COUNTIF(Gov_Map!$M$5:$M$700,"結構選擇（無數值區間）")</f>
        <v>26</v>
      </c>
      <c r="E94" s="43" t="s">
        <v>3725</v>
      </c>
    </row>
    <row r="95" customFormat="false" ht="15" hidden="false" customHeight="true" outlineLevel="0" collapsed="false">
      <c r="A95" s="28" t="s">
        <v>3779</v>
      </c>
      <c r="B95" s="42" t="s">
        <v>3780</v>
      </c>
      <c r="C95" s="28" t="s">
        <v>3765</v>
      </c>
      <c r="D95" s="30" t="n">
        <f aca="false">COUNTIF(Gov_Map!$F$5:$F$700,"原始數據（切片二）")</f>
        <v>3</v>
      </c>
      <c r="E95" s="43" t="s">
        <v>3781</v>
      </c>
    </row>
    <row r="96" customFormat="false" ht="15" hidden="false" customHeight="true" outlineLevel="0" collapsed="false">
      <c r="A96" s="28" t="s">
        <v>3782</v>
      </c>
      <c r="B96" s="42" t="s">
        <v>3783</v>
      </c>
      <c r="C96" s="28" t="s">
        <v>3765</v>
      </c>
      <c r="D96" s="30" t="n">
        <f aca="false">COUNTIF(Gov_Map!$O$5:$O$700,"&lt;&gt;—")-COUNTIF(Gov_Map!$O$5:$O$700,"")</f>
        <v>54</v>
      </c>
      <c r="E96" s="43" t="s">
        <v>3784</v>
      </c>
    </row>
    <row r="97" customFormat="false" ht="15" hidden="false" customHeight="true" outlineLevel="0" collapsed="false">
      <c r="B97" s="8" t="s">
        <v>3785</v>
      </c>
      <c r="D97" s="220" t="n">
        <f aca="false">D74+D75+D76+D77+D78+D79+D80+D81+D82+D83+D84+D85+D86+D104+D105+D110+D114+D119+D120+D136</f>
        <v>0</v>
      </c>
    </row>
    <row r="98" customFormat="false" ht="15" hidden="false" customHeight="true" outlineLevel="0" collapsed="false">
      <c r="B98" s="8" t="s">
        <v>3786</v>
      </c>
      <c r="D98" s="30" t="n">
        <f aca="false">D87+D88+D106+D118+D128+D129+D130+D131</f>
        <v>271</v>
      </c>
    </row>
    <row r="99" customFormat="false" ht="15" hidden="false" customHeight="true" outlineLevel="0" collapsed="false">
      <c r="B99" s="8" t="s">
        <v>3787</v>
      </c>
      <c r="D99" s="30" t="n">
        <f aca="false">D89+D90+D91+D92+D93+D94+D95+D96+D121+D122+D123+D124+D132</f>
        <v>175</v>
      </c>
    </row>
    <row r="100" customFormat="false" ht="15" hidden="false" customHeight="true" outlineLevel="0" collapsed="false">
      <c r="B100" s="53" t="s">
        <v>3788</v>
      </c>
    </row>
    <row r="102" customFormat="false" ht="15" hidden="false" customHeight="true" outlineLevel="0" collapsed="false">
      <c r="A102" s="41" t="s">
        <v>3789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3714</v>
      </c>
      <c r="B103" s="9" t="s">
        <v>3715</v>
      </c>
      <c r="C103" s="9" t="s">
        <v>3716</v>
      </c>
      <c r="D103" s="9" t="s">
        <v>3717</v>
      </c>
      <c r="E103" s="9" t="s">
        <v>3718</v>
      </c>
    </row>
    <row r="104" customFormat="false" ht="15" hidden="false" customHeight="true" outlineLevel="0" collapsed="false">
      <c r="A104" s="28" t="s">
        <v>3790</v>
      </c>
      <c r="B104" s="42" t="s">
        <v>3791</v>
      </c>
      <c r="C104" s="8" t="s">
        <v>3721</v>
      </c>
      <c r="D104" s="30" t="n">
        <f aca="false">IF(ABS(SUM(AL_MixGen)-1)&gt;0.000000001,1,0)</f>
        <v>0</v>
      </c>
      <c r="E104" s="43" t="s">
        <v>3792</v>
      </c>
    </row>
    <row r="105" customFormat="false" ht="15" hidden="false" customHeight="true" outlineLevel="0" collapsed="false">
      <c r="A105" s="28" t="s">
        <v>3793</v>
      </c>
      <c r="B105" s="28" t="s">
        <v>3794</v>
      </c>
      <c r="C105" s="8" t="s">
        <v>3721</v>
      </c>
      <c r="D105" s="30" t="n">
        <f aca="false">SUM(AL_SensCheck)</f>
        <v>0</v>
      </c>
      <c r="E105" s="43" t="s">
        <v>3795</v>
      </c>
    </row>
    <row r="106" customFormat="false" ht="15" hidden="false" customHeight="true" outlineLevel="0" collapsed="false">
      <c r="A106" s="28" t="s">
        <v>3796</v>
      </c>
      <c r="B106" s="28" t="s">
        <v>3797</v>
      </c>
      <c r="C106" s="8" t="s">
        <v>3758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3" t="s">
        <v>3798</v>
      </c>
    </row>
    <row r="108" customFormat="false" ht="15" hidden="false" customHeight="true" outlineLevel="0" collapsed="false">
      <c r="A108" s="41" t="s">
        <v>3799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3714</v>
      </c>
      <c r="B109" s="9" t="s">
        <v>3715</v>
      </c>
      <c r="C109" s="9" t="s">
        <v>3716</v>
      </c>
      <c r="D109" s="9" t="s">
        <v>3717</v>
      </c>
      <c r="E109" s="9" t="s">
        <v>3718</v>
      </c>
    </row>
    <row r="110" customFormat="false" ht="15" hidden="false" customHeight="true" outlineLevel="0" collapsed="false">
      <c r="A110" s="28" t="s">
        <v>3800</v>
      </c>
      <c r="B110" s="42" t="s">
        <v>3801</v>
      </c>
      <c r="C110" s="8" t="s">
        <v>3721</v>
      </c>
      <c r="D110" s="31" t="n">
        <f aca="false">SUM(Theory_Rev_Prod!C90:Q96)</f>
        <v>0</v>
      </c>
      <c r="E110" s="43" t="s">
        <v>3802</v>
      </c>
    </row>
    <row r="112" customFormat="false" ht="15" hidden="false" customHeight="true" outlineLevel="0" collapsed="false">
      <c r="A112" s="41" t="s">
        <v>3803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3714</v>
      </c>
      <c r="B113" s="9" t="s">
        <v>3715</v>
      </c>
      <c r="C113" s="9" t="s">
        <v>3716</v>
      </c>
      <c r="D113" s="9" t="s">
        <v>3717</v>
      </c>
      <c r="E113" s="9" t="s">
        <v>3718</v>
      </c>
    </row>
    <row r="114" customFormat="false" ht="15" hidden="false" customHeight="true" outlineLevel="0" collapsed="false">
      <c r="A114" s="28" t="s">
        <v>3804</v>
      </c>
      <c r="B114" s="42" t="s">
        <v>3805</v>
      </c>
      <c r="C114" s="8" t="s">
        <v>3721</v>
      </c>
      <c r="D114" s="31" t="n">
        <f aca="false">SUM(Theory_Rev!C96:Q99)</f>
        <v>0</v>
      </c>
      <c r="E114" s="43" t="s">
        <v>3806</v>
      </c>
    </row>
    <row r="116" customFormat="false" ht="15" hidden="false" customHeight="true" outlineLevel="0" collapsed="false">
      <c r="A116" s="41" t="s">
        <v>3807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3714</v>
      </c>
      <c r="B117" s="9" t="s">
        <v>3715</v>
      </c>
      <c r="C117" s="9" t="s">
        <v>3716</v>
      </c>
      <c r="D117" s="9" t="s">
        <v>3717</v>
      </c>
      <c r="E117" s="9" t="s">
        <v>3718</v>
      </c>
    </row>
    <row r="118" customFormat="false" ht="57.75" hidden="false" customHeight="true" outlineLevel="0" collapsed="false">
      <c r="A118" s="28" t="s">
        <v>3808</v>
      </c>
      <c r="B118" s="6" t="s">
        <v>3809</v>
      </c>
      <c r="C118" s="28" t="s">
        <v>3758</v>
      </c>
      <c r="D118" s="30" t="n">
        <f aca="false">COUNTIF(Interface!$R$6:$R$315,"—")</f>
        <v>0</v>
      </c>
      <c r="E118" s="43" t="s">
        <v>3810</v>
      </c>
    </row>
    <row r="119" customFormat="false" ht="72" hidden="false" customHeight="true" outlineLevel="0" collapsed="false">
      <c r="A119" s="28" t="s">
        <v>3811</v>
      </c>
      <c r="B119" s="6" t="s">
        <v>3812</v>
      </c>
      <c r="C119" s="8" t="s">
        <v>3721</v>
      </c>
      <c r="D119" s="30" t="n">
        <f aca="false">SUMPRODUCT((Interface!$R$6:$R$315="A")*(Interface!$Y$6:$Y$315=1)*(Interface!$X$6:$X$315=0))</f>
        <v>0</v>
      </c>
      <c r="E119" s="43" t="s">
        <v>3813</v>
      </c>
    </row>
    <row r="120" customFormat="false" ht="86.25" hidden="false" customHeight="true" outlineLevel="0" collapsed="false">
      <c r="A120" s="28" t="s">
        <v>3814</v>
      </c>
      <c r="B120" s="5" t="s">
        <v>3815</v>
      </c>
      <c r="C120" s="8" t="s">
        <v>3721</v>
      </c>
      <c r="D120" s="30" t="n">
        <f aca="false">SUM(Interface!C289:Q310)</f>
        <v>0</v>
      </c>
      <c r="E120" s="43" t="s">
        <v>3816</v>
      </c>
    </row>
    <row r="121" customFormat="false" ht="170.25" hidden="false" customHeight="true" outlineLevel="0" collapsed="false">
      <c r="A121" s="28" t="s">
        <v>3817</v>
      </c>
      <c r="B121" s="6" t="s">
        <v>3818</v>
      </c>
      <c r="C121" s="28" t="s">
        <v>3765</v>
      </c>
      <c r="D121" s="30" t="n">
        <f aca="false">IF(AND(ISNUMBER(L1_FleetMargin),ISNUMBER(Theory_Rev!$M$73)),IF(ABS(L1_FleetMargin-Theory_Rev!$M$73*CTL_ProdDerate*CTL_PriceLife*CTL_Monetize)&lt;=0.000000001,0,1),1)</f>
        <v>0</v>
      </c>
      <c r="E121" s="43" t="s">
        <v>3819</v>
      </c>
    </row>
    <row r="122" customFormat="false" ht="108.75" hidden="false" customHeight="true" outlineLevel="0" collapsed="false">
      <c r="A122" s="28" t="s">
        <v>3820</v>
      </c>
      <c r="B122" s="6" t="s">
        <v>3821</v>
      </c>
      <c r="C122" s="28" t="s">
        <v>3765</v>
      </c>
      <c r="D122" s="30" t="n">
        <f aca="false">LB_LiveCount</f>
        <v>56</v>
      </c>
      <c r="E122" s="43" t="s">
        <v>3822</v>
      </c>
    </row>
    <row r="123" customFormat="false" ht="54.75" hidden="false" customHeight="true" outlineLevel="0" collapsed="false">
      <c r="A123" s="28" t="s">
        <v>3823</v>
      </c>
      <c r="B123" s="6" t="s">
        <v>3824</v>
      </c>
      <c r="C123" s="28" t="s">
        <v>3765</v>
      </c>
      <c r="D123" s="30" t="n">
        <f aca="false">COUNTIF(LB_Days,"&gt;90")</f>
        <v>0</v>
      </c>
      <c r="E123" s="43" t="s">
        <v>3825</v>
      </c>
    </row>
    <row r="124" customFormat="false" ht="69" hidden="false" customHeight="true" outlineLevel="0" collapsed="false">
      <c r="A124" s="28" t="s">
        <v>3826</v>
      </c>
      <c r="B124" s="6" t="s">
        <v>3827</v>
      </c>
      <c r="C124" s="28" t="s">
        <v>3765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3" t="s">
        <v>3828</v>
      </c>
    </row>
    <row r="126" customFormat="false" ht="15" hidden="false" customHeight="true" outlineLevel="0" collapsed="false">
      <c r="A126" s="41" t="s">
        <v>3829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3714</v>
      </c>
      <c r="B127" s="9" t="s">
        <v>3715</v>
      </c>
      <c r="C127" s="9" t="s">
        <v>3716</v>
      </c>
      <c r="D127" s="9" t="s">
        <v>3717</v>
      </c>
      <c r="E127" s="9" t="s">
        <v>3718</v>
      </c>
    </row>
    <row r="128" customFormat="false" ht="111.75" hidden="false" customHeight="true" outlineLevel="0" collapsed="false">
      <c r="A128" s="28" t="s">
        <v>3830</v>
      </c>
      <c r="B128" s="6" t="s">
        <v>3831</v>
      </c>
      <c r="C128" s="28" t="s">
        <v>3758</v>
      </c>
      <c r="D128" s="30" t="n">
        <f aca="false">IF(ISNUMBER(L1_MImplied),IF(OR(L1_MImplied&lt;Gov_Map!$K$598,L1_MImplied&gt;Gov_Map!$L$598),1,0),0)</f>
        <v>1</v>
      </c>
      <c r="E128" s="43" t="s">
        <v>3832</v>
      </c>
    </row>
    <row r="129" customFormat="false" ht="97.5" hidden="false" customHeight="true" outlineLevel="0" collapsed="false">
      <c r="A129" s="28" t="s">
        <v>3833</v>
      </c>
      <c r="B129" s="5" t="s">
        <v>3834</v>
      </c>
      <c r="C129" s="28" t="s">
        <v>3758</v>
      </c>
      <c r="D129" s="30" t="n">
        <f aca="false">IF(AND(ISNUMBER(AL_DPaid),ISNUMBER(L1_TokCeiling)),IF(AL_DPaid&gt;L1_TokCeiling,1,0),0)</f>
        <v>0</v>
      </c>
      <c r="E129" s="43" t="s">
        <v>3835</v>
      </c>
    </row>
    <row r="130" customFormat="false" ht="97.5" hidden="false" customHeight="true" outlineLevel="0" collapsed="false">
      <c r="A130" s="28" t="s">
        <v>3836</v>
      </c>
      <c r="B130" s="6" t="s">
        <v>3837</v>
      </c>
      <c r="C130" s="28" t="s">
        <v>3758</v>
      </c>
      <c r="D130" s="30" t="n">
        <f aca="false">IF(ISNUMBER(L1_MFleet),IF(OR(L1_MFleet&lt;Gov_Map!$K$598,L1_MFleet&gt;Gov_Map!$L$598),1,0),0)</f>
        <v>0</v>
      </c>
      <c r="E130" s="43" t="s">
        <v>3838</v>
      </c>
    </row>
    <row r="131" customFormat="false" ht="86.25" hidden="false" customHeight="true" outlineLevel="0" collapsed="false">
      <c r="A131" s="28" t="s">
        <v>3839</v>
      </c>
      <c r="B131" s="5" t="s">
        <v>3840</v>
      </c>
      <c r="C131" s="28" t="s">
        <v>3758</v>
      </c>
      <c r="D131" s="30" t="n">
        <f aca="false">IF(ISNUMBER(Cap_In!$C$174),IF(OR(Cap_In!$C$174&lt;0.5,Cap_In!$C$174&gt;2),1,0),0)</f>
        <v>1</v>
      </c>
      <c r="E131" s="43" t="s">
        <v>3841</v>
      </c>
    </row>
    <row r="132" customFormat="false" ht="143.25" hidden="false" customHeight="true" outlineLevel="0" collapsed="false">
      <c r="A132" s="28" t="s">
        <v>3842</v>
      </c>
      <c r="B132" s="5" t="s">
        <v>3843</v>
      </c>
      <c r="C132" s="28" t="s">
        <v>3765</v>
      </c>
      <c r="D132" s="30" t="n">
        <f aca="false">IF(ISNUMBER(Cap_In!$C$256),IF(ABS(Cap_In!$C$256)&gt;0.000000001,1,0),0)</f>
        <v>0</v>
      </c>
      <c r="E132" s="43" t="s">
        <v>3844</v>
      </c>
    </row>
    <row r="134" customFormat="false" ht="15" hidden="false" customHeight="true" outlineLevel="0" collapsed="false">
      <c r="A134" s="41" t="s">
        <v>3845</v>
      </c>
      <c r="B134" s="14"/>
      <c r="C134" s="14"/>
      <c r="D134" s="14"/>
      <c r="E134" s="14"/>
      <c r="F134" s="14"/>
    </row>
    <row r="135" customFormat="false" ht="15" hidden="false" customHeight="true" outlineLevel="0" collapsed="false">
      <c r="A135" s="9" t="s">
        <v>3714</v>
      </c>
      <c r="B135" s="9" t="s">
        <v>3715</v>
      </c>
      <c r="C135" s="9" t="s">
        <v>3716</v>
      </c>
      <c r="D135" s="9" t="s">
        <v>3717</v>
      </c>
      <c r="E135" s="9" t="s">
        <v>3718</v>
      </c>
    </row>
    <row r="136" customFormat="false" ht="15" hidden="false" customHeight="true" outlineLevel="0" collapsed="false">
      <c r="A136" s="28" t="s">
        <v>3846</v>
      </c>
      <c r="B136" s="28" t="s">
        <v>3847</v>
      </c>
      <c r="C136" s="8" t="s">
        <v>3721</v>
      </c>
      <c r="D136" s="31" t="n">
        <f aca="false">SUM(Theory_Rev!C102:Q107)</f>
        <v>0</v>
      </c>
      <c r="E136" s="43" t="s">
        <v>3848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21" t="s">
        <v>3849</v>
      </c>
    </row>
    <row r="2" customFormat="false" ht="15" hidden="false" customHeight="true" outlineLevel="0" collapsed="false">
      <c r="A2" s="43" t="s">
        <v>3850</v>
      </c>
    </row>
    <row r="4" customFormat="false" ht="43.5" hidden="false" customHeight="true" outlineLevel="0" collapsed="false">
      <c r="A4" s="84" t="s">
        <v>3380</v>
      </c>
      <c r="B4" s="222" t="s">
        <v>3851</v>
      </c>
      <c r="C4" s="222" t="s">
        <v>12</v>
      </c>
      <c r="D4" s="222" t="s">
        <v>3381</v>
      </c>
      <c r="E4" s="222" t="s">
        <v>3382</v>
      </c>
      <c r="F4" s="222" t="s">
        <v>3383</v>
      </c>
      <c r="G4" s="222" t="s">
        <v>3852</v>
      </c>
      <c r="H4" s="84" t="s">
        <v>3853</v>
      </c>
      <c r="I4" s="222" t="s">
        <v>3854</v>
      </c>
      <c r="J4" s="222" t="s">
        <v>3855</v>
      </c>
      <c r="K4" s="222" t="s">
        <v>1150</v>
      </c>
      <c r="L4" s="222" t="s">
        <v>1151</v>
      </c>
      <c r="M4" s="222" t="s">
        <v>3856</v>
      </c>
      <c r="N4" s="222" t="s">
        <v>3857</v>
      </c>
      <c r="O4" s="222" t="s">
        <v>3858</v>
      </c>
      <c r="P4" s="84" t="s">
        <v>3384</v>
      </c>
      <c r="Q4" s="222" t="s">
        <v>3859</v>
      </c>
      <c r="R4" s="84" t="s">
        <v>3860</v>
      </c>
      <c r="S4" s="84" t="s">
        <v>3861</v>
      </c>
      <c r="T4" s="84" t="s">
        <v>3385</v>
      </c>
      <c r="U4" s="222" t="s">
        <v>3862</v>
      </c>
      <c r="V4" s="84" t="s">
        <v>3863</v>
      </c>
      <c r="W4" s="84" t="s">
        <v>3864</v>
      </c>
      <c r="X4" s="84" t="s">
        <v>3865</v>
      </c>
      <c r="Y4" s="84" t="s">
        <v>3866</v>
      </c>
      <c r="Z4" s="84" t="s">
        <v>3867</v>
      </c>
      <c r="AA4" s="84" t="s">
        <v>3868</v>
      </c>
      <c r="AB4" s="84" t="s">
        <v>3869</v>
      </c>
      <c r="AC4" s="84" t="s">
        <v>3870</v>
      </c>
      <c r="AD4" s="84" t="s">
        <v>3871</v>
      </c>
      <c r="AE4" s="84" t="s">
        <v>3872</v>
      </c>
      <c r="AF4" s="84" t="s">
        <v>3873</v>
      </c>
      <c r="AG4" s="84" t="s">
        <v>3874</v>
      </c>
      <c r="AH4" s="84" t="s">
        <v>3875</v>
      </c>
      <c r="AI4" s="84" t="s">
        <v>3876</v>
      </c>
      <c r="AJ4" s="84" t="s">
        <v>3877</v>
      </c>
      <c r="AK4" s="223" t="s">
        <v>3878</v>
      </c>
    </row>
    <row r="5" customFormat="false" ht="15" hidden="false" customHeight="true" outlineLevel="0" collapsed="false">
      <c r="A5" s="28" t="s">
        <v>3879</v>
      </c>
      <c r="B5" s="224" t="s">
        <v>3880</v>
      </c>
      <c r="C5" s="28" t="s">
        <v>3881</v>
      </c>
      <c r="D5" s="28" t="s">
        <v>3731</v>
      </c>
      <c r="E5" s="6" t="s">
        <v>90</v>
      </c>
      <c r="F5" s="28" t="s">
        <v>92</v>
      </c>
      <c r="G5" s="224" t="s">
        <v>3882</v>
      </c>
      <c r="H5" s="28" t="s">
        <v>620</v>
      </c>
      <c r="I5" s="6" t="s">
        <v>620</v>
      </c>
      <c r="J5" s="28" t="s">
        <v>3883</v>
      </c>
      <c r="K5" s="224"/>
      <c r="L5" s="224"/>
      <c r="M5" s="28" t="s">
        <v>620</v>
      </c>
      <c r="N5" s="6" t="s">
        <v>3884</v>
      </c>
      <c r="O5" s="6" t="s">
        <v>620</v>
      </c>
      <c r="P5" s="224" t="s">
        <v>3885</v>
      </c>
      <c r="Q5" s="47" t="n">
        <f aca="false">Inputs!E5</f>
        <v>1</v>
      </c>
      <c r="R5" s="28" t="s">
        <v>620</v>
      </c>
      <c r="S5" s="42" t="str">
        <f aca="false">IF(ISNUMBER($AF5),INDEX(IDX_SrcStat,$AF5),"—")</f>
        <v>—</v>
      </c>
      <c r="T5" s="42" t="str">
        <f aca="false">IF(ISNUMBER($AF5),INDEX(IDX_SrcGrade,$AF5),"—")</f>
        <v>—</v>
      </c>
      <c r="U5" s="42" t="s">
        <v>3886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2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2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3887</v>
      </c>
      <c r="B6" s="224" t="s">
        <v>3880</v>
      </c>
      <c r="C6" s="28" t="s">
        <v>3881</v>
      </c>
      <c r="D6" s="28" t="s">
        <v>3733</v>
      </c>
      <c r="E6" s="19" t="s">
        <v>94</v>
      </c>
      <c r="F6" s="28" t="s">
        <v>92</v>
      </c>
      <c r="G6" s="224" t="s">
        <v>3882</v>
      </c>
      <c r="H6" s="28" t="s">
        <v>620</v>
      </c>
      <c r="I6" s="6" t="s">
        <v>620</v>
      </c>
      <c r="J6" s="28" t="s">
        <v>3888</v>
      </c>
      <c r="K6" s="224"/>
      <c r="L6" s="224"/>
      <c r="M6" s="28" t="s">
        <v>620</v>
      </c>
      <c r="N6" s="6" t="s">
        <v>3889</v>
      </c>
      <c r="O6" s="6" t="s">
        <v>620</v>
      </c>
      <c r="P6" s="224" t="s">
        <v>3885</v>
      </c>
      <c r="Q6" s="47" t="n">
        <f aca="false">Inputs!E6</f>
        <v>2</v>
      </c>
      <c r="R6" s="28" t="s">
        <v>620</v>
      </c>
      <c r="S6" s="42" t="str">
        <f aca="false">IF(ISNUMBER($AF6),INDEX(IDX_SrcStat,$AF6),"—")</f>
        <v>—</v>
      </c>
      <c r="T6" s="42" t="str">
        <f aca="false">IF(ISNUMBER($AF6),INDEX(IDX_SrcGrade,$AF6),"—")</f>
        <v>—</v>
      </c>
      <c r="U6" s="42" t="s">
        <v>3886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2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2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3890</v>
      </c>
      <c r="B7" s="224" t="s">
        <v>3880</v>
      </c>
      <c r="C7" s="28" t="s">
        <v>3881</v>
      </c>
      <c r="D7" s="28" t="s">
        <v>3739</v>
      </c>
      <c r="E7" s="19" t="s">
        <v>98</v>
      </c>
      <c r="F7" s="28" t="s">
        <v>100</v>
      </c>
      <c r="G7" s="224" t="s">
        <v>85</v>
      </c>
      <c r="H7" s="28" t="s">
        <v>620</v>
      </c>
      <c r="I7" s="6" t="s">
        <v>620</v>
      </c>
      <c r="J7" s="28" t="s">
        <v>620</v>
      </c>
      <c r="K7" s="189" t="n">
        <f aca="false">Sensitivity!$X$8</f>
        <v>0.05</v>
      </c>
      <c r="L7" s="189" t="n">
        <f aca="false">Sensitivity!$Y$8</f>
        <v>0.12</v>
      </c>
      <c r="M7" s="28" t="s">
        <v>3891</v>
      </c>
      <c r="N7" s="225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620</v>
      </c>
      <c r="P7" s="224" t="s">
        <v>1150</v>
      </c>
      <c r="Q7" s="189" t="n">
        <f aca="false">Inputs!E8</f>
        <v>0.08</v>
      </c>
      <c r="R7" s="28" t="s">
        <v>620</v>
      </c>
      <c r="S7" s="42" t="str">
        <f aca="false">IF(ISNUMBER($AF7),INDEX(IDX_SrcStat,$AF7),"—")</f>
        <v>—</v>
      </c>
      <c r="T7" s="42" t="str">
        <f aca="false">IF(ISNUMBER($AF7),INDEX(IDX_SrcGrade,$AF7),"—")</f>
        <v>—</v>
      </c>
      <c r="U7" s="42" t="s">
        <v>3886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2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2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3892</v>
      </c>
      <c r="B8" s="224" t="s">
        <v>3880</v>
      </c>
      <c r="C8" s="28" t="s">
        <v>3881</v>
      </c>
      <c r="D8" s="28" t="s">
        <v>3742</v>
      </c>
      <c r="E8" s="6" t="s">
        <v>102</v>
      </c>
      <c r="F8" s="28" t="s">
        <v>100</v>
      </c>
      <c r="G8" s="224" t="s">
        <v>85</v>
      </c>
      <c r="H8" s="28" t="s">
        <v>620</v>
      </c>
      <c r="I8" s="6" t="s">
        <v>620</v>
      </c>
      <c r="J8" s="28" t="s">
        <v>620</v>
      </c>
      <c r="K8" s="185" t="n">
        <f aca="false">Inputs!$D$9</f>
        <v>1.1</v>
      </c>
      <c r="L8" s="185" t="n">
        <f aca="false">Inputs!$F$9</f>
        <v>1.3</v>
      </c>
      <c r="M8" s="28" t="s">
        <v>620</v>
      </c>
      <c r="N8" s="225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3893</v>
      </c>
      <c r="P8" s="224" t="s">
        <v>1150</v>
      </c>
      <c r="Q8" s="185" t="n">
        <f aca="false">Inputs!E9</f>
        <v>1.2</v>
      </c>
      <c r="R8" s="28" t="s">
        <v>620</v>
      </c>
      <c r="S8" s="42" t="str">
        <f aca="false">IF(ISNUMBER($AF8),INDEX(IDX_SrcStat,$AF8),"—")</f>
        <v>—</v>
      </c>
      <c r="T8" s="42" t="str">
        <f aca="false">IF(ISNUMBER($AF8),INDEX(IDX_SrcGrade,$AF8),"—")</f>
        <v>—</v>
      </c>
      <c r="U8" s="42" t="s">
        <v>3886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2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2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3894</v>
      </c>
      <c r="B9" s="224" t="s">
        <v>3880</v>
      </c>
      <c r="C9" s="28" t="s">
        <v>3881</v>
      </c>
      <c r="D9" s="28" t="s">
        <v>3895</v>
      </c>
      <c r="E9" s="6" t="s">
        <v>102</v>
      </c>
      <c r="F9" s="28" t="s">
        <v>100</v>
      </c>
      <c r="G9" s="224" t="s">
        <v>1150</v>
      </c>
      <c r="H9" s="28" t="s">
        <v>620</v>
      </c>
      <c r="I9" s="6" t="s">
        <v>620</v>
      </c>
      <c r="J9" s="28" t="s">
        <v>620</v>
      </c>
      <c r="K9" s="224"/>
      <c r="L9" s="224"/>
      <c r="M9" s="28" t="s">
        <v>620</v>
      </c>
      <c r="N9" s="225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3893</v>
      </c>
      <c r="P9" s="224" t="s">
        <v>1150</v>
      </c>
      <c r="Q9" s="185" t="n">
        <f aca="false">Inputs!D9</f>
        <v>1.1</v>
      </c>
      <c r="R9" s="28" t="s">
        <v>620</v>
      </c>
      <c r="S9" s="42" t="str">
        <f aca="false">IF(ISNUMBER($AF9),INDEX(IDX_SrcStat,$AF9),"—")</f>
        <v>—</v>
      </c>
      <c r="T9" s="42" t="str">
        <f aca="false">IF(ISNUMBER($AF9),INDEX(IDX_SrcGrade,$AF9),"—")</f>
        <v>—</v>
      </c>
      <c r="U9" s="42" t="s">
        <v>3886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2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2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3896</v>
      </c>
      <c r="B10" s="224" t="s">
        <v>3880</v>
      </c>
      <c r="C10" s="28" t="s">
        <v>3881</v>
      </c>
      <c r="D10" s="28" t="s">
        <v>3897</v>
      </c>
      <c r="E10" s="6" t="s">
        <v>102</v>
      </c>
      <c r="F10" s="28" t="s">
        <v>100</v>
      </c>
      <c r="G10" s="224" t="s">
        <v>1151</v>
      </c>
      <c r="H10" s="28" t="s">
        <v>620</v>
      </c>
      <c r="I10" s="6" t="s">
        <v>620</v>
      </c>
      <c r="J10" s="28" t="s">
        <v>620</v>
      </c>
      <c r="K10" s="224"/>
      <c r="L10" s="224"/>
      <c r="M10" s="28" t="s">
        <v>620</v>
      </c>
      <c r="N10" s="225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3893</v>
      </c>
      <c r="P10" s="224" t="s">
        <v>1150</v>
      </c>
      <c r="Q10" s="185" t="n">
        <f aca="false">Inputs!F9</f>
        <v>1.3</v>
      </c>
      <c r="R10" s="28" t="s">
        <v>620</v>
      </c>
      <c r="S10" s="42" t="str">
        <f aca="false">IF(ISNUMBER($AF10),INDEX(IDX_SrcStat,$AF10),"—")</f>
        <v>—</v>
      </c>
      <c r="T10" s="42" t="str">
        <f aca="false">IF(ISNUMBER($AF10),INDEX(IDX_SrcGrade,$AF10),"—")</f>
        <v>—</v>
      </c>
      <c r="U10" s="42" t="s">
        <v>3886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2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2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3898</v>
      </c>
      <c r="B11" s="224" t="s">
        <v>3880</v>
      </c>
      <c r="C11" s="28" t="s">
        <v>3881</v>
      </c>
      <c r="D11" s="28" t="s">
        <v>3745</v>
      </c>
      <c r="E11" s="19" t="s">
        <v>106</v>
      </c>
      <c r="F11" s="28" t="s">
        <v>100</v>
      </c>
      <c r="G11" s="224" t="s">
        <v>85</v>
      </c>
      <c r="H11" s="28" t="s">
        <v>620</v>
      </c>
      <c r="I11" s="6" t="s">
        <v>620</v>
      </c>
      <c r="J11" s="28" t="s">
        <v>620</v>
      </c>
      <c r="K11" s="189" t="n">
        <f aca="false">Inputs!$D$10</f>
        <v>0.7</v>
      </c>
      <c r="L11" s="189" t="n">
        <f aca="false">Inputs!$F$10</f>
        <v>0.9</v>
      </c>
      <c r="M11" s="28" t="s">
        <v>620</v>
      </c>
      <c r="N11" s="225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620</v>
      </c>
      <c r="P11" s="224" t="s">
        <v>1150</v>
      </c>
      <c r="Q11" s="189" t="n">
        <f aca="false">Inputs!E10</f>
        <v>0.8</v>
      </c>
      <c r="R11" s="28" t="s">
        <v>620</v>
      </c>
      <c r="S11" s="42" t="str">
        <f aca="false">IF(ISNUMBER($AF11),INDEX(IDX_SrcStat,$AF11),"—")</f>
        <v>—</v>
      </c>
      <c r="T11" s="42" t="str">
        <f aca="false">IF(ISNUMBER($AF11),INDEX(IDX_SrcGrade,$AF11),"—")</f>
        <v>—</v>
      </c>
      <c r="U11" s="42" t="s">
        <v>3886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2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2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3899</v>
      </c>
      <c r="B12" s="224" t="s">
        <v>3880</v>
      </c>
      <c r="C12" s="28" t="s">
        <v>3881</v>
      </c>
      <c r="D12" s="28" t="s">
        <v>3900</v>
      </c>
      <c r="E12" s="19" t="s">
        <v>106</v>
      </c>
      <c r="F12" s="28" t="s">
        <v>100</v>
      </c>
      <c r="G12" s="224" t="s">
        <v>1150</v>
      </c>
      <c r="H12" s="28" t="s">
        <v>620</v>
      </c>
      <c r="I12" s="6" t="s">
        <v>620</v>
      </c>
      <c r="J12" s="28" t="s">
        <v>620</v>
      </c>
      <c r="K12" s="224"/>
      <c r="L12" s="224"/>
      <c r="M12" s="28" t="s">
        <v>620</v>
      </c>
      <c r="N12" s="225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620</v>
      </c>
      <c r="P12" s="224" t="s">
        <v>1150</v>
      </c>
      <c r="Q12" s="189" t="n">
        <f aca="false">Inputs!D10</f>
        <v>0.7</v>
      </c>
      <c r="R12" s="28" t="s">
        <v>620</v>
      </c>
      <c r="S12" s="42" t="str">
        <f aca="false">IF(ISNUMBER($AF12),INDEX(IDX_SrcStat,$AF12),"—")</f>
        <v>—</v>
      </c>
      <c r="T12" s="42" t="str">
        <f aca="false">IF(ISNUMBER($AF12),INDEX(IDX_SrcGrade,$AF12),"—")</f>
        <v>—</v>
      </c>
      <c r="U12" s="42" t="s">
        <v>3886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2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2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3901</v>
      </c>
      <c r="B13" s="224" t="s">
        <v>3880</v>
      </c>
      <c r="C13" s="28" t="s">
        <v>3881</v>
      </c>
      <c r="D13" s="28" t="s">
        <v>3902</v>
      </c>
      <c r="E13" s="19" t="s">
        <v>106</v>
      </c>
      <c r="F13" s="28" t="s">
        <v>100</v>
      </c>
      <c r="G13" s="224" t="s">
        <v>1151</v>
      </c>
      <c r="H13" s="28" t="s">
        <v>620</v>
      </c>
      <c r="I13" s="6" t="s">
        <v>620</v>
      </c>
      <c r="J13" s="28" t="s">
        <v>620</v>
      </c>
      <c r="K13" s="224"/>
      <c r="L13" s="224"/>
      <c r="M13" s="28" t="s">
        <v>620</v>
      </c>
      <c r="N13" s="225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620</v>
      </c>
      <c r="P13" s="224" t="s">
        <v>1150</v>
      </c>
      <c r="Q13" s="189" t="n">
        <f aca="false">Inputs!F10</f>
        <v>0.9</v>
      </c>
      <c r="R13" s="28" t="s">
        <v>620</v>
      </c>
      <c r="S13" s="42" t="str">
        <f aca="false">IF(ISNUMBER($AF13),INDEX(IDX_SrcStat,$AF13),"—")</f>
        <v>—</v>
      </c>
      <c r="T13" s="42" t="str">
        <f aca="false">IF(ISNUMBER($AF13),INDEX(IDX_SrcGrade,$AF13),"—")</f>
        <v>—</v>
      </c>
      <c r="U13" s="42" t="s">
        <v>3886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2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2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3903</v>
      </c>
      <c r="B14" s="224" t="s">
        <v>3880</v>
      </c>
      <c r="C14" s="28" t="s">
        <v>3881</v>
      </c>
      <c r="D14" s="28" t="s">
        <v>3748</v>
      </c>
      <c r="E14" s="19" t="s">
        <v>108</v>
      </c>
      <c r="F14" s="28" t="s">
        <v>104</v>
      </c>
      <c r="G14" s="224" t="s">
        <v>85</v>
      </c>
      <c r="H14" s="28" t="s">
        <v>3904</v>
      </c>
      <c r="I14" s="19" t="s">
        <v>3905</v>
      </c>
      <c r="J14" s="28" t="s">
        <v>620</v>
      </c>
      <c r="K14" s="185" t="n">
        <f aca="false">Inputs!$D$11</f>
        <v>0.06</v>
      </c>
      <c r="L14" s="185" t="n">
        <f aca="false">Inputs!$F$11</f>
        <v>0.1</v>
      </c>
      <c r="M14" s="28" t="s">
        <v>620</v>
      </c>
      <c r="N14" s="22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620</v>
      </c>
      <c r="P14" s="224" t="s">
        <v>1150</v>
      </c>
      <c r="Q14" s="185" t="n">
        <f aca="false">Inputs!E11</f>
        <v>0.08</v>
      </c>
      <c r="R14" s="177" t="n">
        <f aca="false">SRC_DC_006</f>
        <v>0.0871</v>
      </c>
      <c r="S14" s="42" t="str">
        <f aca="false">IF(ISNUMBER($AF14),INDEX(IDX_SrcStat,$AF14),"—")</f>
        <v>Active</v>
      </c>
      <c r="T14" s="42" t="n">
        <f aca="false">IF(ISNUMBER($AF14),INDEX(IDX_SrcGrade,$AF14),"—")</f>
        <v>2</v>
      </c>
      <c r="U14" s="42" t="s">
        <v>3886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2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2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3906</v>
      </c>
      <c r="B15" s="224" t="s">
        <v>3880</v>
      </c>
      <c r="C15" s="28" t="s">
        <v>3881</v>
      </c>
      <c r="D15" s="28" t="s">
        <v>3907</v>
      </c>
      <c r="E15" s="19" t="s">
        <v>108</v>
      </c>
      <c r="F15" s="28" t="s">
        <v>104</v>
      </c>
      <c r="G15" s="224" t="s">
        <v>1150</v>
      </c>
      <c r="H15" s="28" t="s">
        <v>3904</v>
      </c>
      <c r="I15" s="19" t="s">
        <v>3905</v>
      </c>
      <c r="J15" s="28" t="s">
        <v>620</v>
      </c>
      <c r="K15" s="224"/>
      <c r="L15" s="224"/>
      <c r="M15" s="28" t="s">
        <v>620</v>
      </c>
      <c r="N15" s="22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620</v>
      </c>
      <c r="P15" s="224" t="s">
        <v>1150</v>
      </c>
      <c r="Q15" s="185" t="n">
        <f aca="false">Inputs!D11</f>
        <v>0.06</v>
      </c>
      <c r="R15" s="177" t="n">
        <f aca="false">SRC_DC_006</f>
        <v>0.0871</v>
      </c>
      <c r="S15" s="42" t="str">
        <f aca="false">IF(ISNUMBER($AF15),INDEX(IDX_SrcStat,$AF15),"—")</f>
        <v>Active</v>
      </c>
      <c r="T15" s="42" t="n">
        <f aca="false">IF(ISNUMBER($AF15),INDEX(IDX_SrcGrade,$AF15),"—")</f>
        <v>2</v>
      </c>
      <c r="U15" s="42" t="s">
        <v>3886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2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2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3908</v>
      </c>
      <c r="B16" s="224" t="s">
        <v>3880</v>
      </c>
      <c r="C16" s="28" t="s">
        <v>3881</v>
      </c>
      <c r="D16" s="28" t="s">
        <v>3909</v>
      </c>
      <c r="E16" s="19" t="s">
        <v>108</v>
      </c>
      <c r="F16" s="28" t="s">
        <v>104</v>
      </c>
      <c r="G16" s="224" t="s">
        <v>1151</v>
      </c>
      <c r="H16" s="28" t="s">
        <v>3904</v>
      </c>
      <c r="I16" s="19" t="s">
        <v>3905</v>
      </c>
      <c r="J16" s="28" t="s">
        <v>620</v>
      </c>
      <c r="K16" s="224"/>
      <c r="L16" s="224"/>
      <c r="M16" s="28" t="s">
        <v>620</v>
      </c>
      <c r="N16" s="22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620</v>
      </c>
      <c r="P16" s="224" t="s">
        <v>1150</v>
      </c>
      <c r="Q16" s="185" t="n">
        <f aca="false">Inputs!F11</f>
        <v>0.1</v>
      </c>
      <c r="R16" s="177" t="n">
        <f aca="false">SRC_DC_006</f>
        <v>0.0871</v>
      </c>
      <c r="S16" s="42" t="str">
        <f aca="false">IF(ISNUMBER($AF16),INDEX(IDX_SrcStat,$AF16),"—")</f>
        <v>Active</v>
      </c>
      <c r="T16" s="42" t="n">
        <f aca="false">IF(ISNUMBER($AF16),INDEX(IDX_SrcGrade,$AF16),"—")</f>
        <v>2</v>
      </c>
      <c r="U16" s="42" t="s">
        <v>3886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2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2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3910</v>
      </c>
      <c r="B17" s="224" t="s">
        <v>3880</v>
      </c>
      <c r="C17" s="28" t="s">
        <v>3881</v>
      </c>
      <c r="D17" s="28" t="s">
        <v>3753</v>
      </c>
      <c r="E17" s="6" t="s">
        <v>113</v>
      </c>
      <c r="F17" s="28" t="s">
        <v>104</v>
      </c>
      <c r="G17" s="224" t="s">
        <v>85</v>
      </c>
      <c r="H17" s="28" t="s">
        <v>3911</v>
      </c>
      <c r="I17" s="19" t="s">
        <v>3905</v>
      </c>
      <c r="J17" s="28" t="s">
        <v>620</v>
      </c>
      <c r="K17" s="189" t="n">
        <f aca="false">Inputs!$D$13</f>
        <v>0.05</v>
      </c>
      <c r="L17" s="189" t="n">
        <f aca="false">Inputs!$F$13</f>
        <v>0.15</v>
      </c>
      <c r="M17" s="28" t="s">
        <v>620</v>
      </c>
      <c r="N17" s="225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620</v>
      </c>
      <c r="P17" s="224" t="s">
        <v>1150</v>
      </c>
      <c r="Q17" s="189" t="n">
        <f aca="false">Inputs!E13</f>
        <v>0.1</v>
      </c>
      <c r="R17" s="177" t="n">
        <f aca="false">SRC_DC_001_Lo</f>
        <v>0.04</v>
      </c>
      <c r="S17" s="42" t="str">
        <f aca="false">IF(ISNUMBER($AF17),INDEX(IDX_SrcStat,$AF17),"—")</f>
        <v>Active</v>
      </c>
      <c r="T17" s="42" t="n">
        <f aca="false">IF(ISNUMBER($AF17),INDEX(IDX_SrcGrade,$AF17),"—")</f>
        <v>3</v>
      </c>
      <c r="U17" s="42" t="s">
        <v>3886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2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2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3912</v>
      </c>
      <c r="B18" s="224" t="s">
        <v>3880</v>
      </c>
      <c r="C18" s="28" t="s">
        <v>3881</v>
      </c>
      <c r="D18" s="28" t="s">
        <v>3913</v>
      </c>
      <c r="E18" s="6" t="s">
        <v>113</v>
      </c>
      <c r="F18" s="28" t="s">
        <v>104</v>
      </c>
      <c r="G18" s="224" t="s">
        <v>1150</v>
      </c>
      <c r="H18" s="28" t="s">
        <v>3911</v>
      </c>
      <c r="I18" s="19" t="s">
        <v>3905</v>
      </c>
      <c r="J18" s="28" t="s">
        <v>620</v>
      </c>
      <c r="K18" s="224"/>
      <c r="L18" s="224"/>
      <c r="M18" s="28" t="s">
        <v>620</v>
      </c>
      <c r="N18" s="225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620</v>
      </c>
      <c r="P18" s="224" t="s">
        <v>1150</v>
      </c>
      <c r="Q18" s="189" t="n">
        <f aca="false">Inputs!D13</f>
        <v>0.05</v>
      </c>
      <c r="R18" s="177" t="n">
        <f aca="false">SRC_DC_001_Lo</f>
        <v>0.04</v>
      </c>
      <c r="S18" s="42" t="str">
        <f aca="false">IF(ISNUMBER($AF18),INDEX(IDX_SrcStat,$AF18),"—")</f>
        <v>Active</v>
      </c>
      <c r="T18" s="42" t="n">
        <f aca="false">IF(ISNUMBER($AF18),INDEX(IDX_SrcGrade,$AF18),"—")</f>
        <v>3</v>
      </c>
      <c r="U18" s="42" t="s">
        <v>3886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2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2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3914</v>
      </c>
      <c r="B19" s="224" t="s">
        <v>3880</v>
      </c>
      <c r="C19" s="28" t="s">
        <v>3881</v>
      </c>
      <c r="D19" s="28" t="s">
        <v>3915</v>
      </c>
      <c r="E19" s="6" t="s">
        <v>113</v>
      </c>
      <c r="F19" s="224" t="s">
        <v>332</v>
      </c>
      <c r="G19" s="224" t="s">
        <v>3882</v>
      </c>
      <c r="H19" s="28" t="s">
        <v>3916</v>
      </c>
      <c r="I19" s="19" t="s">
        <v>3917</v>
      </c>
      <c r="J19" s="28" t="s">
        <v>620</v>
      </c>
      <c r="K19" s="224"/>
      <c r="L19" s="224"/>
      <c r="M19" s="28" t="s">
        <v>620</v>
      </c>
      <c r="N19" s="19" t="s">
        <v>3918</v>
      </c>
      <c r="O19" s="6" t="s">
        <v>620</v>
      </c>
      <c r="P19" s="224" t="s">
        <v>1150</v>
      </c>
      <c r="Q19" s="189" t="n">
        <f aca="false">Inputs!F13</f>
        <v>0.15</v>
      </c>
      <c r="R19" s="177" t="n">
        <f aca="false">SRC_DC_002</f>
        <v>0.15</v>
      </c>
      <c r="S19" s="42" t="str">
        <f aca="false">IF(ISNUMBER($AF19),INDEX(IDX_SrcStat,$AF19),"—")</f>
        <v>Active</v>
      </c>
      <c r="T19" s="42" t="n">
        <f aca="false">IF(ISNUMBER($AF19),INDEX(IDX_SrcGrade,$AF19),"—")</f>
        <v>3</v>
      </c>
      <c r="U19" s="42" t="s">
        <v>3919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2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2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3920</v>
      </c>
      <c r="B20" s="224" t="s">
        <v>3880</v>
      </c>
      <c r="C20" s="28" t="s">
        <v>3881</v>
      </c>
      <c r="D20" s="28" t="s">
        <v>3921</v>
      </c>
      <c r="E20" s="19" t="s">
        <v>115</v>
      </c>
      <c r="F20" s="28" t="s">
        <v>100</v>
      </c>
      <c r="G20" s="224" t="s">
        <v>85</v>
      </c>
      <c r="H20" s="28" t="s">
        <v>620</v>
      </c>
      <c r="I20" s="6" t="s">
        <v>620</v>
      </c>
      <c r="J20" s="28" t="s">
        <v>620</v>
      </c>
      <c r="K20" s="47" t="n">
        <f aca="false">Inputs!$D$14</f>
        <v>300</v>
      </c>
      <c r="L20" s="47" t="n">
        <f aca="false">Inputs!$F$14</f>
        <v>800</v>
      </c>
      <c r="M20" s="28" t="s">
        <v>620</v>
      </c>
      <c r="N20" s="225" t="str">
        <f aca="false">Inputs!$H$14</f>
        <v>v4 約 $350/GPU（$25K/架）</v>
      </c>
      <c r="O20" s="6" t="s">
        <v>620</v>
      </c>
      <c r="P20" s="224" t="s">
        <v>1150</v>
      </c>
      <c r="Q20" s="47" t="n">
        <f aca="false">Inputs!E14</f>
        <v>500</v>
      </c>
      <c r="R20" s="28" t="s">
        <v>620</v>
      </c>
      <c r="S20" s="42" t="str">
        <f aca="false">IF(ISNUMBER($AF20),INDEX(IDX_SrcStat,$AF20),"—")</f>
        <v>—</v>
      </c>
      <c r="T20" s="42" t="str">
        <f aca="false">IF(ISNUMBER($AF20),INDEX(IDX_SrcGrade,$AF20),"—")</f>
        <v>—</v>
      </c>
      <c r="U20" s="42" t="s">
        <v>3886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2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2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3922</v>
      </c>
      <c r="B21" s="224" t="s">
        <v>3880</v>
      </c>
      <c r="C21" s="28" t="s">
        <v>3881</v>
      </c>
      <c r="D21" s="28" t="s">
        <v>3923</v>
      </c>
      <c r="E21" s="19" t="s">
        <v>115</v>
      </c>
      <c r="F21" s="28" t="s">
        <v>100</v>
      </c>
      <c r="G21" s="224" t="s">
        <v>1150</v>
      </c>
      <c r="H21" s="28" t="s">
        <v>620</v>
      </c>
      <c r="I21" s="6" t="s">
        <v>620</v>
      </c>
      <c r="J21" s="28" t="s">
        <v>620</v>
      </c>
      <c r="K21" s="224"/>
      <c r="L21" s="224"/>
      <c r="M21" s="28" t="s">
        <v>620</v>
      </c>
      <c r="N21" s="225" t="str">
        <f aca="false">Inputs!$H$14</f>
        <v>v4 約 $350/GPU（$25K/架）</v>
      </c>
      <c r="O21" s="6" t="s">
        <v>620</v>
      </c>
      <c r="P21" s="224" t="s">
        <v>1150</v>
      </c>
      <c r="Q21" s="47" t="n">
        <f aca="false">Inputs!D14</f>
        <v>300</v>
      </c>
      <c r="R21" s="28" t="s">
        <v>620</v>
      </c>
      <c r="S21" s="42" t="str">
        <f aca="false">IF(ISNUMBER($AF21),INDEX(IDX_SrcStat,$AF21),"—")</f>
        <v>—</v>
      </c>
      <c r="T21" s="42" t="str">
        <f aca="false">IF(ISNUMBER($AF21),INDEX(IDX_SrcGrade,$AF21),"—")</f>
        <v>—</v>
      </c>
      <c r="U21" s="42" t="s">
        <v>3886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2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2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3924</v>
      </c>
      <c r="B22" s="224" t="s">
        <v>3880</v>
      </c>
      <c r="C22" s="28" t="s">
        <v>3881</v>
      </c>
      <c r="D22" s="28" t="s">
        <v>3925</v>
      </c>
      <c r="E22" s="19" t="s">
        <v>115</v>
      </c>
      <c r="F22" s="28" t="s">
        <v>100</v>
      </c>
      <c r="G22" s="224" t="s">
        <v>1151</v>
      </c>
      <c r="H22" s="28" t="s">
        <v>620</v>
      </c>
      <c r="I22" s="6" t="s">
        <v>620</v>
      </c>
      <c r="J22" s="28" t="s">
        <v>620</v>
      </c>
      <c r="K22" s="224"/>
      <c r="L22" s="224"/>
      <c r="M22" s="28" t="s">
        <v>620</v>
      </c>
      <c r="N22" s="225" t="str">
        <f aca="false">Inputs!$H$14</f>
        <v>v4 約 $350/GPU（$25K/架）</v>
      </c>
      <c r="O22" s="6" t="s">
        <v>620</v>
      </c>
      <c r="P22" s="224" t="s">
        <v>1150</v>
      </c>
      <c r="Q22" s="47" t="n">
        <f aca="false">Inputs!F14</f>
        <v>800</v>
      </c>
      <c r="R22" s="28" t="s">
        <v>620</v>
      </c>
      <c r="S22" s="42" t="str">
        <f aca="false">IF(ISNUMBER($AF22),INDEX(IDX_SrcStat,$AF22),"—")</f>
        <v>—</v>
      </c>
      <c r="T22" s="42" t="str">
        <f aca="false">IF(ISNUMBER($AF22),INDEX(IDX_SrcGrade,$AF22),"—")</f>
        <v>—</v>
      </c>
      <c r="U22" s="42" t="s">
        <v>3886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2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2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3926</v>
      </c>
      <c r="B23" s="224" t="s">
        <v>3880</v>
      </c>
      <c r="C23" s="28" t="s">
        <v>3881</v>
      </c>
      <c r="D23" s="28" t="s">
        <v>3927</v>
      </c>
      <c r="E23" s="19" t="s">
        <v>119</v>
      </c>
      <c r="F23" s="28" t="s">
        <v>100</v>
      </c>
      <c r="G23" s="224" t="s">
        <v>85</v>
      </c>
      <c r="H23" s="28" t="s">
        <v>620</v>
      </c>
      <c r="I23" s="6" t="s">
        <v>620</v>
      </c>
      <c r="J23" s="28" t="s">
        <v>620</v>
      </c>
      <c r="K23" s="185" t="n">
        <f aca="false">Inputs!$D$16</f>
        <v>0.02</v>
      </c>
      <c r="L23" s="185" t="n">
        <f aca="false">Inputs!$F$16</f>
        <v>0.02</v>
      </c>
      <c r="M23" s="28" t="s">
        <v>620</v>
      </c>
      <c r="N23" s="225" t="str">
        <f aca="false">Inputs!$H$16</f>
        <v>v4：100 英畝 × $200K／GW</v>
      </c>
      <c r="O23" s="6" t="s">
        <v>620</v>
      </c>
      <c r="P23" s="224" t="s">
        <v>1150</v>
      </c>
      <c r="Q23" s="185" t="n">
        <f aca="false">Inputs!E16</f>
        <v>0.02</v>
      </c>
      <c r="R23" s="28" t="s">
        <v>620</v>
      </c>
      <c r="S23" s="42" t="str">
        <f aca="false">IF(ISNUMBER($AF23),INDEX(IDX_SrcStat,$AF23),"—")</f>
        <v>—</v>
      </c>
      <c r="T23" s="42" t="str">
        <f aca="false">IF(ISNUMBER($AF23),INDEX(IDX_SrcGrade,$AF23),"—")</f>
        <v>—</v>
      </c>
      <c r="U23" s="42" t="s">
        <v>3886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2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2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3928</v>
      </c>
      <c r="B24" s="224" t="s">
        <v>3880</v>
      </c>
      <c r="C24" s="28" t="s">
        <v>3881</v>
      </c>
      <c r="D24" s="28" t="s">
        <v>3929</v>
      </c>
      <c r="E24" s="19" t="s">
        <v>119</v>
      </c>
      <c r="F24" s="28" t="s">
        <v>100</v>
      </c>
      <c r="G24" s="224" t="s">
        <v>1150</v>
      </c>
      <c r="H24" s="28" t="s">
        <v>620</v>
      </c>
      <c r="I24" s="6" t="s">
        <v>620</v>
      </c>
      <c r="J24" s="28" t="s">
        <v>620</v>
      </c>
      <c r="K24" s="224"/>
      <c r="L24" s="224"/>
      <c r="M24" s="28" t="s">
        <v>620</v>
      </c>
      <c r="N24" s="225" t="str">
        <f aca="false">Inputs!$H$16</f>
        <v>v4：100 英畝 × $200K／GW</v>
      </c>
      <c r="O24" s="6" t="s">
        <v>620</v>
      </c>
      <c r="P24" s="224" t="s">
        <v>1150</v>
      </c>
      <c r="Q24" s="185" t="n">
        <f aca="false">Inputs!D16</f>
        <v>0.02</v>
      </c>
      <c r="R24" s="28" t="s">
        <v>620</v>
      </c>
      <c r="S24" s="42" t="str">
        <f aca="false">IF(ISNUMBER($AF24),INDEX(IDX_SrcStat,$AF24),"—")</f>
        <v>—</v>
      </c>
      <c r="T24" s="42" t="str">
        <f aca="false">IF(ISNUMBER($AF24),INDEX(IDX_SrcGrade,$AF24),"—")</f>
        <v>—</v>
      </c>
      <c r="U24" s="42" t="s">
        <v>3886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2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2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3930</v>
      </c>
      <c r="B25" s="224" t="s">
        <v>3880</v>
      </c>
      <c r="C25" s="28" t="s">
        <v>3881</v>
      </c>
      <c r="D25" s="28" t="s">
        <v>3931</v>
      </c>
      <c r="E25" s="19" t="s">
        <v>119</v>
      </c>
      <c r="F25" s="28" t="s">
        <v>100</v>
      </c>
      <c r="G25" s="224" t="s">
        <v>1151</v>
      </c>
      <c r="H25" s="28" t="s">
        <v>620</v>
      </c>
      <c r="I25" s="6" t="s">
        <v>620</v>
      </c>
      <c r="J25" s="28" t="s">
        <v>620</v>
      </c>
      <c r="K25" s="224"/>
      <c r="L25" s="224"/>
      <c r="M25" s="28" t="s">
        <v>620</v>
      </c>
      <c r="N25" s="225" t="str">
        <f aca="false">Inputs!$H$16</f>
        <v>v4：100 英畝 × $200K／GW</v>
      </c>
      <c r="O25" s="6" t="s">
        <v>620</v>
      </c>
      <c r="P25" s="224" t="s">
        <v>1150</v>
      </c>
      <c r="Q25" s="185" t="n">
        <f aca="false">Inputs!F16</f>
        <v>0.02</v>
      </c>
      <c r="R25" s="28" t="s">
        <v>620</v>
      </c>
      <c r="S25" s="42" t="str">
        <f aca="false">IF(ISNUMBER($AF25),INDEX(IDX_SrcStat,$AF25),"—")</f>
        <v>—</v>
      </c>
      <c r="T25" s="42" t="str">
        <f aca="false">IF(ISNUMBER($AF25),INDEX(IDX_SrcGrade,$AF25),"—")</f>
        <v>—</v>
      </c>
      <c r="U25" s="42" t="s">
        <v>3886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2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2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3932</v>
      </c>
      <c r="B26" s="224" t="s">
        <v>3880</v>
      </c>
      <c r="C26" s="28" t="s">
        <v>3881</v>
      </c>
      <c r="D26" s="28" t="s">
        <v>3933</v>
      </c>
      <c r="E26" s="19" t="s">
        <v>122</v>
      </c>
      <c r="F26" s="28" t="s">
        <v>100</v>
      </c>
      <c r="G26" s="224" t="s">
        <v>85</v>
      </c>
      <c r="H26" s="28" t="s">
        <v>620</v>
      </c>
      <c r="I26" s="6" t="s">
        <v>620</v>
      </c>
      <c r="J26" s="28" t="s">
        <v>620</v>
      </c>
      <c r="K26" s="185" t="n">
        <f aca="false">Inputs!$D$17</f>
        <v>3</v>
      </c>
      <c r="L26" s="185" t="n">
        <f aca="false">Inputs!$F$17</f>
        <v>4.5</v>
      </c>
      <c r="M26" s="28" t="s">
        <v>620</v>
      </c>
      <c r="N26" s="22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620</v>
      </c>
      <c r="P26" s="224" t="s">
        <v>1150</v>
      </c>
      <c r="Q26" s="185" t="n">
        <f aca="false">Inputs!E17</f>
        <v>3.6</v>
      </c>
      <c r="R26" s="28" t="s">
        <v>620</v>
      </c>
      <c r="S26" s="42" t="str">
        <f aca="false">IF(ISNUMBER($AF26),INDEX(IDX_SrcStat,$AF26),"—")</f>
        <v>—</v>
      </c>
      <c r="T26" s="42" t="str">
        <f aca="false">IF(ISNUMBER($AF26),INDEX(IDX_SrcGrade,$AF26),"—")</f>
        <v>—</v>
      </c>
      <c r="U26" s="42" t="s">
        <v>3886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2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2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3934</v>
      </c>
      <c r="B27" s="224" t="s">
        <v>3880</v>
      </c>
      <c r="C27" s="28" t="s">
        <v>3881</v>
      </c>
      <c r="D27" s="28" t="s">
        <v>3935</v>
      </c>
      <c r="E27" s="19" t="s">
        <v>122</v>
      </c>
      <c r="F27" s="28" t="s">
        <v>100</v>
      </c>
      <c r="G27" s="224" t="s">
        <v>1150</v>
      </c>
      <c r="H27" s="28" t="s">
        <v>620</v>
      </c>
      <c r="I27" s="6" t="s">
        <v>620</v>
      </c>
      <c r="J27" s="28" t="s">
        <v>620</v>
      </c>
      <c r="K27" s="224"/>
      <c r="L27" s="224"/>
      <c r="M27" s="28" t="s">
        <v>620</v>
      </c>
      <c r="N27" s="22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620</v>
      </c>
      <c r="P27" s="224" t="s">
        <v>1150</v>
      </c>
      <c r="Q27" s="185" t="n">
        <f aca="false">Inputs!D17</f>
        <v>3</v>
      </c>
      <c r="R27" s="28" t="s">
        <v>620</v>
      </c>
      <c r="S27" s="42" t="str">
        <f aca="false">IF(ISNUMBER($AF27),INDEX(IDX_SrcStat,$AF27),"—")</f>
        <v>—</v>
      </c>
      <c r="T27" s="42" t="str">
        <f aca="false">IF(ISNUMBER($AF27),INDEX(IDX_SrcGrade,$AF27),"—")</f>
        <v>—</v>
      </c>
      <c r="U27" s="42" t="s">
        <v>3886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2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2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3936</v>
      </c>
      <c r="B28" s="224" t="s">
        <v>3880</v>
      </c>
      <c r="C28" s="28" t="s">
        <v>3881</v>
      </c>
      <c r="D28" s="28" t="s">
        <v>3937</v>
      </c>
      <c r="E28" s="19" t="s">
        <v>122</v>
      </c>
      <c r="F28" s="28" t="s">
        <v>100</v>
      </c>
      <c r="G28" s="224" t="s">
        <v>1151</v>
      </c>
      <c r="H28" s="28" t="s">
        <v>620</v>
      </c>
      <c r="I28" s="6" t="s">
        <v>620</v>
      </c>
      <c r="J28" s="28" t="s">
        <v>620</v>
      </c>
      <c r="K28" s="224"/>
      <c r="L28" s="224"/>
      <c r="M28" s="28" t="s">
        <v>620</v>
      </c>
      <c r="N28" s="22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620</v>
      </c>
      <c r="P28" s="224" t="s">
        <v>1150</v>
      </c>
      <c r="Q28" s="185" t="n">
        <f aca="false">Inputs!F17</f>
        <v>4.5</v>
      </c>
      <c r="R28" s="28" t="s">
        <v>620</v>
      </c>
      <c r="S28" s="42" t="str">
        <f aca="false">IF(ISNUMBER($AF28),INDEX(IDX_SrcStat,$AF28),"—")</f>
        <v>—</v>
      </c>
      <c r="T28" s="42" t="str">
        <f aca="false">IF(ISNUMBER($AF28),INDEX(IDX_SrcGrade,$AF28),"—")</f>
        <v>—</v>
      </c>
      <c r="U28" s="42" t="s">
        <v>3886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2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2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3938</v>
      </c>
      <c r="B29" s="224" t="s">
        <v>3880</v>
      </c>
      <c r="C29" s="28" t="s">
        <v>3881</v>
      </c>
      <c r="D29" s="28" t="s">
        <v>3939</v>
      </c>
      <c r="E29" s="19" t="s">
        <v>124</v>
      </c>
      <c r="F29" s="28" t="s">
        <v>100</v>
      </c>
      <c r="G29" s="224" t="s">
        <v>85</v>
      </c>
      <c r="H29" s="28" t="s">
        <v>620</v>
      </c>
      <c r="I29" s="6" t="s">
        <v>620</v>
      </c>
      <c r="J29" s="28" t="s">
        <v>620</v>
      </c>
      <c r="K29" s="185" t="n">
        <f aca="false">Inputs!$D$18</f>
        <v>3.8</v>
      </c>
      <c r="L29" s="185" t="n">
        <f aca="false">Inputs!$F$18</f>
        <v>5.5</v>
      </c>
      <c r="M29" s="28" t="s">
        <v>620</v>
      </c>
      <c r="N29" s="19" t="s">
        <v>3940</v>
      </c>
      <c r="O29" s="6" t="s">
        <v>620</v>
      </c>
      <c r="P29" s="224" t="s">
        <v>3941</v>
      </c>
      <c r="Q29" s="185" t="n">
        <f aca="false">Inputs!E18</f>
        <v>4.5</v>
      </c>
      <c r="R29" s="28" t="s">
        <v>620</v>
      </c>
      <c r="S29" s="42" t="str">
        <f aca="false">IF(ISNUMBER($AF29),INDEX(IDX_SrcStat,$AF29),"—")</f>
        <v>—</v>
      </c>
      <c r="T29" s="42" t="str">
        <f aca="false">IF(ISNUMBER($AF29),INDEX(IDX_SrcGrade,$AF29),"—")</f>
        <v>—</v>
      </c>
      <c r="U29" s="42" t="s">
        <v>3886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2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2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3942</v>
      </c>
      <c r="B30" s="224" t="s">
        <v>3880</v>
      </c>
      <c r="C30" s="28" t="s">
        <v>3881</v>
      </c>
      <c r="D30" s="28" t="s">
        <v>3943</v>
      </c>
      <c r="E30" s="19" t="s">
        <v>124</v>
      </c>
      <c r="F30" s="28" t="s">
        <v>100</v>
      </c>
      <c r="G30" s="224" t="s">
        <v>1150</v>
      </c>
      <c r="H30" s="28" t="s">
        <v>620</v>
      </c>
      <c r="I30" s="6" t="s">
        <v>620</v>
      </c>
      <c r="J30" s="28" t="s">
        <v>620</v>
      </c>
      <c r="K30" s="224"/>
      <c r="L30" s="224"/>
      <c r="M30" s="28" t="s">
        <v>620</v>
      </c>
      <c r="N30" s="19" t="s">
        <v>3940</v>
      </c>
      <c r="O30" s="6" t="s">
        <v>620</v>
      </c>
      <c r="P30" s="224" t="s">
        <v>3941</v>
      </c>
      <c r="Q30" s="185" t="n">
        <f aca="false">Inputs!D18</f>
        <v>3.8</v>
      </c>
      <c r="R30" s="28" t="s">
        <v>620</v>
      </c>
      <c r="S30" s="42" t="str">
        <f aca="false">IF(ISNUMBER($AF30),INDEX(IDX_SrcStat,$AF30),"—")</f>
        <v>—</v>
      </c>
      <c r="T30" s="42" t="str">
        <f aca="false">IF(ISNUMBER($AF30),INDEX(IDX_SrcGrade,$AF30),"—")</f>
        <v>—</v>
      </c>
      <c r="U30" s="42" t="s">
        <v>3886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2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2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3944</v>
      </c>
      <c r="B31" s="224" t="s">
        <v>3880</v>
      </c>
      <c r="C31" s="28" t="s">
        <v>3881</v>
      </c>
      <c r="D31" s="28" t="s">
        <v>3945</v>
      </c>
      <c r="E31" s="19" t="s">
        <v>124</v>
      </c>
      <c r="F31" s="28" t="s">
        <v>100</v>
      </c>
      <c r="G31" s="224" t="s">
        <v>1151</v>
      </c>
      <c r="H31" s="28" t="s">
        <v>620</v>
      </c>
      <c r="I31" s="6" t="s">
        <v>620</v>
      </c>
      <c r="J31" s="28" t="s">
        <v>620</v>
      </c>
      <c r="K31" s="224"/>
      <c r="L31" s="224"/>
      <c r="M31" s="28" t="s">
        <v>620</v>
      </c>
      <c r="N31" s="19" t="s">
        <v>3940</v>
      </c>
      <c r="O31" s="6" t="s">
        <v>620</v>
      </c>
      <c r="P31" s="224" t="s">
        <v>3941</v>
      </c>
      <c r="Q31" s="185" t="n">
        <f aca="false">Inputs!F18</f>
        <v>5.5</v>
      </c>
      <c r="R31" s="28" t="s">
        <v>620</v>
      </c>
      <c r="S31" s="42" t="str">
        <f aca="false">IF(ISNUMBER($AF31),INDEX(IDX_SrcStat,$AF31),"—")</f>
        <v>—</v>
      </c>
      <c r="T31" s="42" t="str">
        <f aca="false">IF(ISNUMBER($AF31),INDEX(IDX_SrcGrade,$AF31),"—")</f>
        <v>—</v>
      </c>
      <c r="U31" s="42" t="s">
        <v>3886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2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2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3946</v>
      </c>
      <c r="B32" s="224" t="s">
        <v>3880</v>
      </c>
      <c r="C32" s="28" t="s">
        <v>3881</v>
      </c>
      <c r="D32" s="28" t="s">
        <v>3947</v>
      </c>
      <c r="E32" s="19" t="s">
        <v>126</v>
      </c>
      <c r="F32" s="28" t="s">
        <v>100</v>
      </c>
      <c r="G32" s="224" t="s">
        <v>85</v>
      </c>
      <c r="H32" s="28" t="s">
        <v>620</v>
      </c>
      <c r="I32" s="6" t="s">
        <v>620</v>
      </c>
      <c r="J32" s="28" t="s">
        <v>620</v>
      </c>
      <c r="K32" s="185" t="n">
        <f aca="false">Inputs!$D$19</f>
        <v>2</v>
      </c>
      <c r="L32" s="185" t="n">
        <f aca="false">Inputs!$F$19</f>
        <v>3.2</v>
      </c>
      <c r="M32" s="28" t="s">
        <v>620</v>
      </c>
      <c r="N32" s="225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620</v>
      </c>
      <c r="P32" s="224" t="s">
        <v>1150</v>
      </c>
      <c r="Q32" s="185" t="n">
        <f aca="false">Inputs!E19</f>
        <v>2.5</v>
      </c>
      <c r="R32" s="28" t="s">
        <v>620</v>
      </c>
      <c r="S32" s="42" t="str">
        <f aca="false">IF(ISNUMBER($AF32),INDEX(IDX_SrcStat,$AF32),"—")</f>
        <v>—</v>
      </c>
      <c r="T32" s="42" t="str">
        <f aca="false">IF(ISNUMBER($AF32),INDEX(IDX_SrcGrade,$AF32),"—")</f>
        <v>—</v>
      </c>
      <c r="U32" s="42" t="s">
        <v>3886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2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2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3948</v>
      </c>
      <c r="B33" s="224" t="s">
        <v>3880</v>
      </c>
      <c r="C33" s="28" t="s">
        <v>3881</v>
      </c>
      <c r="D33" s="28" t="s">
        <v>3949</v>
      </c>
      <c r="E33" s="19" t="s">
        <v>126</v>
      </c>
      <c r="F33" s="28" t="s">
        <v>100</v>
      </c>
      <c r="G33" s="224" t="s">
        <v>1150</v>
      </c>
      <c r="H33" s="28" t="s">
        <v>620</v>
      </c>
      <c r="I33" s="6" t="s">
        <v>620</v>
      </c>
      <c r="J33" s="28" t="s">
        <v>620</v>
      </c>
      <c r="K33" s="224"/>
      <c r="L33" s="224"/>
      <c r="M33" s="28" t="s">
        <v>620</v>
      </c>
      <c r="N33" s="225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620</v>
      </c>
      <c r="P33" s="224" t="s">
        <v>1150</v>
      </c>
      <c r="Q33" s="185" t="n">
        <f aca="false">Inputs!D19</f>
        <v>2</v>
      </c>
      <c r="R33" s="28" t="s">
        <v>620</v>
      </c>
      <c r="S33" s="42" t="str">
        <f aca="false">IF(ISNUMBER($AF33),INDEX(IDX_SrcStat,$AF33),"—")</f>
        <v>—</v>
      </c>
      <c r="T33" s="42" t="str">
        <f aca="false">IF(ISNUMBER($AF33),INDEX(IDX_SrcGrade,$AF33),"—")</f>
        <v>—</v>
      </c>
      <c r="U33" s="42" t="s">
        <v>3886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2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2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3950</v>
      </c>
      <c r="B34" s="224" t="s">
        <v>3880</v>
      </c>
      <c r="C34" s="28" t="s">
        <v>3881</v>
      </c>
      <c r="D34" s="28" t="s">
        <v>3951</v>
      </c>
      <c r="E34" s="19" t="s">
        <v>126</v>
      </c>
      <c r="F34" s="28" t="s">
        <v>100</v>
      </c>
      <c r="G34" s="224" t="s">
        <v>1151</v>
      </c>
      <c r="H34" s="28" t="s">
        <v>620</v>
      </c>
      <c r="I34" s="6" t="s">
        <v>620</v>
      </c>
      <c r="J34" s="28" t="s">
        <v>620</v>
      </c>
      <c r="K34" s="224"/>
      <c r="L34" s="224"/>
      <c r="M34" s="28" t="s">
        <v>620</v>
      </c>
      <c r="N34" s="225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620</v>
      </c>
      <c r="P34" s="224" t="s">
        <v>1150</v>
      </c>
      <c r="Q34" s="185" t="n">
        <f aca="false">Inputs!F19</f>
        <v>3.2</v>
      </c>
      <c r="R34" s="28" t="s">
        <v>620</v>
      </c>
      <c r="S34" s="42" t="str">
        <f aca="false">IF(ISNUMBER($AF34),INDEX(IDX_SrcStat,$AF34),"—")</f>
        <v>—</v>
      </c>
      <c r="T34" s="42" t="str">
        <f aca="false">IF(ISNUMBER($AF34),INDEX(IDX_SrcGrade,$AF34),"—")</f>
        <v>—</v>
      </c>
      <c r="U34" s="42" t="s">
        <v>3886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2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2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3952</v>
      </c>
      <c r="B35" s="224" t="s">
        <v>3880</v>
      </c>
      <c r="C35" s="28" t="s">
        <v>3881</v>
      </c>
      <c r="D35" s="28" t="s">
        <v>3953</v>
      </c>
      <c r="E35" s="19" t="s">
        <v>128</v>
      </c>
      <c r="F35" s="28" t="s">
        <v>100</v>
      </c>
      <c r="G35" s="224" t="s">
        <v>85</v>
      </c>
      <c r="H35" s="28" t="s">
        <v>620</v>
      </c>
      <c r="I35" s="6" t="s">
        <v>620</v>
      </c>
      <c r="J35" s="28" t="s">
        <v>620</v>
      </c>
      <c r="K35" s="185" t="n">
        <f aca="false">Inputs!$D$20</f>
        <v>0.3</v>
      </c>
      <c r="L35" s="185" t="n">
        <f aca="false">Inputs!$F$20</f>
        <v>0.5</v>
      </c>
      <c r="M35" s="28" t="s">
        <v>620</v>
      </c>
      <c r="N35" s="19" t="s">
        <v>3954</v>
      </c>
      <c r="O35" s="6" t="s">
        <v>620</v>
      </c>
      <c r="P35" s="224" t="s">
        <v>1150</v>
      </c>
      <c r="Q35" s="185" t="n">
        <f aca="false">Inputs!E20</f>
        <v>0.4</v>
      </c>
      <c r="R35" s="28" t="s">
        <v>620</v>
      </c>
      <c r="S35" s="42" t="str">
        <f aca="false">IF(ISNUMBER($AF35),INDEX(IDX_SrcStat,$AF35),"—")</f>
        <v>—</v>
      </c>
      <c r="T35" s="42" t="str">
        <f aca="false">IF(ISNUMBER($AF35),INDEX(IDX_SrcGrade,$AF35),"—")</f>
        <v>—</v>
      </c>
      <c r="U35" s="42" t="s">
        <v>3886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2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2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3955</v>
      </c>
      <c r="B36" s="224" t="s">
        <v>3880</v>
      </c>
      <c r="C36" s="28" t="s">
        <v>3881</v>
      </c>
      <c r="D36" s="28" t="s">
        <v>3956</v>
      </c>
      <c r="E36" s="19" t="s">
        <v>128</v>
      </c>
      <c r="F36" s="28" t="s">
        <v>100</v>
      </c>
      <c r="G36" s="224" t="s">
        <v>1150</v>
      </c>
      <c r="H36" s="28" t="s">
        <v>620</v>
      </c>
      <c r="I36" s="6" t="s">
        <v>620</v>
      </c>
      <c r="J36" s="28" t="s">
        <v>620</v>
      </c>
      <c r="K36" s="224"/>
      <c r="L36" s="224"/>
      <c r="M36" s="28" t="s">
        <v>620</v>
      </c>
      <c r="N36" s="19" t="s">
        <v>3954</v>
      </c>
      <c r="O36" s="6" t="s">
        <v>620</v>
      </c>
      <c r="P36" s="224" t="s">
        <v>1150</v>
      </c>
      <c r="Q36" s="185" t="n">
        <f aca="false">Inputs!D20</f>
        <v>0.3</v>
      </c>
      <c r="R36" s="28" t="s">
        <v>620</v>
      </c>
      <c r="S36" s="42" t="str">
        <f aca="false">IF(ISNUMBER($AF36),INDEX(IDX_SrcStat,$AF36),"—")</f>
        <v>—</v>
      </c>
      <c r="T36" s="42" t="str">
        <f aca="false">IF(ISNUMBER($AF36),INDEX(IDX_SrcGrade,$AF36),"—")</f>
        <v>—</v>
      </c>
      <c r="U36" s="42" t="s">
        <v>3886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2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2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3957</v>
      </c>
      <c r="B37" s="224" t="s">
        <v>3880</v>
      </c>
      <c r="C37" s="28" t="s">
        <v>3881</v>
      </c>
      <c r="D37" s="28" t="s">
        <v>3958</v>
      </c>
      <c r="E37" s="19" t="s">
        <v>128</v>
      </c>
      <c r="F37" s="28" t="s">
        <v>100</v>
      </c>
      <c r="G37" s="224" t="s">
        <v>1151</v>
      </c>
      <c r="H37" s="28" t="s">
        <v>620</v>
      </c>
      <c r="I37" s="6" t="s">
        <v>620</v>
      </c>
      <c r="J37" s="28" t="s">
        <v>620</v>
      </c>
      <c r="K37" s="224"/>
      <c r="L37" s="224"/>
      <c r="M37" s="28" t="s">
        <v>620</v>
      </c>
      <c r="N37" s="19" t="s">
        <v>3954</v>
      </c>
      <c r="O37" s="6" t="s">
        <v>620</v>
      </c>
      <c r="P37" s="224" t="s">
        <v>1150</v>
      </c>
      <c r="Q37" s="185" t="n">
        <f aca="false">Inputs!F20</f>
        <v>0.5</v>
      </c>
      <c r="R37" s="28" t="s">
        <v>620</v>
      </c>
      <c r="S37" s="42" t="str">
        <f aca="false">IF(ISNUMBER($AF37),INDEX(IDX_SrcStat,$AF37),"—")</f>
        <v>—</v>
      </c>
      <c r="T37" s="42" t="str">
        <f aca="false">IF(ISNUMBER($AF37),INDEX(IDX_SrcGrade,$AF37),"—")</f>
        <v>—</v>
      </c>
      <c r="U37" s="42" t="s">
        <v>3886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2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2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3959</v>
      </c>
      <c r="B38" s="224" t="s">
        <v>3880</v>
      </c>
      <c r="C38" s="28" t="s">
        <v>3881</v>
      </c>
      <c r="D38" s="28" t="s">
        <v>3960</v>
      </c>
      <c r="E38" s="19" t="s">
        <v>129</v>
      </c>
      <c r="F38" s="28" t="s">
        <v>100</v>
      </c>
      <c r="G38" s="224" t="s">
        <v>85</v>
      </c>
      <c r="H38" s="28" t="s">
        <v>620</v>
      </c>
      <c r="I38" s="6" t="s">
        <v>620</v>
      </c>
      <c r="J38" s="28" t="s">
        <v>620</v>
      </c>
      <c r="K38" s="189" t="n">
        <f aca="false">Inputs!$D$21</f>
        <v>0.12</v>
      </c>
      <c r="L38" s="189" t="n">
        <f aca="false">Inputs!$F$21</f>
        <v>0.18</v>
      </c>
      <c r="M38" s="28" t="s">
        <v>620</v>
      </c>
      <c r="N38" s="6" t="s">
        <v>3961</v>
      </c>
      <c r="O38" s="6" t="s">
        <v>620</v>
      </c>
      <c r="P38" s="224" t="s">
        <v>1150</v>
      </c>
      <c r="Q38" s="189" t="n">
        <f aca="false">Inputs!E21</f>
        <v>0.15</v>
      </c>
      <c r="R38" s="28" t="s">
        <v>620</v>
      </c>
      <c r="S38" s="42" t="str">
        <f aca="false">IF(ISNUMBER($AF38),INDEX(IDX_SrcStat,$AF38),"—")</f>
        <v>—</v>
      </c>
      <c r="T38" s="42" t="str">
        <f aca="false">IF(ISNUMBER($AF38),INDEX(IDX_SrcGrade,$AF38),"—")</f>
        <v>—</v>
      </c>
      <c r="U38" s="42" t="s">
        <v>3886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2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2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3962</v>
      </c>
      <c r="B39" s="224" t="s">
        <v>3880</v>
      </c>
      <c r="C39" s="28" t="s">
        <v>3881</v>
      </c>
      <c r="D39" s="28" t="s">
        <v>3963</v>
      </c>
      <c r="E39" s="19" t="s">
        <v>129</v>
      </c>
      <c r="F39" s="28" t="s">
        <v>100</v>
      </c>
      <c r="G39" s="224" t="s">
        <v>1150</v>
      </c>
      <c r="H39" s="28" t="s">
        <v>620</v>
      </c>
      <c r="I39" s="6" t="s">
        <v>620</v>
      </c>
      <c r="J39" s="28" t="s">
        <v>620</v>
      </c>
      <c r="K39" s="224"/>
      <c r="L39" s="224"/>
      <c r="M39" s="28" t="s">
        <v>620</v>
      </c>
      <c r="N39" s="6" t="s">
        <v>3961</v>
      </c>
      <c r="O39" s="6" t="s">
        <v>620</v>
      </c>
      <c r="P39" s="224" t="s">
        <v>1150</v>
      </c>
      <c r="Q39" s="189" t="n">
        <f aca="false">Inputs!D21</f>
        <v>0.12</v>
      </c>
      <c r="R39" s="28" t="s">
        <v>620</v>
      </c>
      <c r="S39" s="42" t="str">
        <f aca="false">IF(ISNUMBER($AF39),INDEX(IDX_SrcStat,$AF39),"—")</f>
        <v>—</v>
      </c>
      <c r="T39" s="42" t="str">
        <f aca="false">IF(ISNUMBER($AF39),INDEX(IDX_SrcGrade,$AF39),"—")</f>
        <v>—</v>
      </c>
      <c r="U39" s="42" t="s">
        <v>3886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2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2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3964</v>
      </c>
      <c r="B40" s="224" t="s">
        <v>3880</v>
      </c>
      <c r="C40" s="28" t="s">
        <v>3881</v>
      </c>
      <c r="D40" s="28" t="s">
        <v>3965</v>
      </c>
      <c r="E40" s="19" t="s">
        <v>129</v>
      </c>
      <c r="F40" s="28" t="s">
        <v>100</v>
      </c>
      <c r="G40" s="224" t="s">
        <v>1151</v>
      </c>
      <c r="H40" s="28" t="s">
        <v>620</v>
      </c>
      <c r="I40" s="6" t="s">
        <v>620</v>
      </c>
      <c r="J40" s="28" t="s">
        <v>620</v>
      </c>
      <c r="K40" s="224"/>
      <c r="L40" s="224"/>
      <c r="M40" s="28" t="s">
        <v>620</v>
      </c>
      <c r="N40" s="6" t="s">
        <v>3961</v>
      </c>
      <c r="O40" s="6" t="s">
        <v>620</v>
      </c>
      <c r="P40" s="224" t="s">
        <v>1150</v>
      </c>
      <c r="Q40" s="189" t="n">
        <f aca="false">Inputs!F21</f>
        <v>0.18</v>
      </c>
      <c r="R40" s="28" t="s">
        <v>620</v>
      </c>
      <c r="S40" s="42" t="str">
        <f aca="false">IF(ISNUMBER($AF40),INDEX(IDX_SrcStat,$AF40),"—")</f>
        <v>—</v>
      </c>
      <c r="T40" s="42" t="str">
        <f aca="false">IF(ISNUMBER($AF40),INDEX(IDX_SrcGrade,$AF40),"—")</f>
        <v>—</v>
      </c>
      <c r="U40" s="42" t="s">
        <v>3886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2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2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3966</v>
      </c>
      <c r="B41" s="224" t="s">
        <v>3880</v>
      </c>
      <c r="C41" s="28" t="s">
        <v>3881</v>
      </c>
      <c r="D41" s="28" t="s">
        <v>3967</v>
      </c>
      <c r="E41" s="6" t="s">
        <v>142</v>
      </c>
      <c r="F41" s="28" t="s">
        <v>100</v>
      </c>
      <c r="G41" s="224" t="s">
        <v>85</v>
      </c>
      <c r="H41" s="28" t="s">
        <v>620</v>
      </c>
      <c r="I41" s="6" t="s">
        <v>620</v>
      </c>
      <c r="J41" s="28" t="s">
        <v>3900</v>
      </c>
      <c r="K41" s="189" t="n">
        <f aca="false">Inputs!$D$28</f>
        <v>0.08</v>
      </c>
      <c r="L41" s="189" t="n">
        <f aca="false">Inputs!$F$28</f>
        <v>0.13</v>
      </c>
      <c r="M41" s="28" t="s">
        <v>620</v>
      </c>
      <c r="N41" s="225" t="str">
        <f aca="false">Inputs!$H$28</f>
        <v>與擁有者無關的單一假設；下游公司模型以自身 WACC 覆寫（Andy 2026-09-30 決定）</v>
      </c>
      <c r="O41" s="6" t="s">
        <v>620</v>
      </c>
      <c r="P41" s="224" t="s">
        <v>3941</v>
      </c>
      <c r="Q41" s="189" t="n">
        <f aca="false">Inputs!E28</f>
        <v>0.1</v>
      </c>
      <c r="R41" s="28" t="s">
        <v>620</v>
      </c>
      <c r="S41" s="42" t="str">
        <f aca="false">IF(ISNUMBER($AF41),INDEX(IDX_SrcStat,$AF41),"—")</f>
        <v>—</v>
      </c>
      <c r="T41" s="42" t="str">
        <f aca="false">IF(ISNUMBER($AF41),INDEX(IDX_SrcGrade,$AF41),"—")</f>
        <v>—</v>
      </c>
      <c r="U41" s="42" t="s">
        <v>3886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2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2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3968</v>
      </c>
      <c r="B42" s="224" t="s">
        <v>3880</v>
      </c>
      <c r="C42" s="28" t="s">
        <v>3881</v>
      </c>
      <c r="D42" s="28" t="s">
        <v>3969</v>
      </c>
      <c r="E42" s="6" t="s">
        <v>142</v>
      </c>
      <c r="F42" s="28" t="s">
        <v>100</v>
      </c>
      <c r="G42" s="224" t="s">
        <v>1150</v>
      </c>
      <c r="H42" s="28" t="s">
        <v>620</v>
      </c>
      <c r="I42" s="6" t="s">
        <v>620</v>
      </c>
      <c r="J42" s="28" t="s">
        <v>620</v>
      </c>
      <c r="K42" s="224"/>
      <c r="L42" s="224"/>
      <c r="M42" s="28" t="s">
        <v>620</v>
      </c>
      <c r="N42" s="225" t="str">
        <f aca="false">Inputs!$H$28</f>
        <v>與擁有者無關的單一假設；下游公司模型以自身 WACC 覆寫（Andy 2026-09-30 決定）</v>
      </c>
      <c r="O42" s="6" t="s">
        <v>620</v>
      </c>
      <c r="P42" s="224" t="s">
        <v>3941</v>
      </c>
      <c r="Q42" s="189" t="n">
        <f aca="false">Inputs!D28</f>
        <v>0.08</v>
      </c>
      <c r="R42" s="28" t="s">
        <v>620</v>
      </c>
      <c r="S42" s="42" t="str">
        <f aca="false">IF(ISNUMBER($AF42),INDEX(IDX_SrcStat,$AF42),"—")</f>
        <v>—</v>
      </c>
      <c r="T42" s="42" t="str">
        <f aca="false">IF(ISNUMBER($AF42),INDEX(IDX_SrcGrade,$AF42),"—")</f>
        <v>—</v>
      </c>
      <c r="U42" s="42" t="s">
        <v>3886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2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2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3970</v>
      </c>
      <c r="B43" s="224" t="s">
        <v>3880</v>
      </c>
      <c r="C43" s="28" t="s">
        <v>3881</v>
      </c>
      <c r="D43" s="28" t="s">
        <v>3971</v>
      </c>
      <c r="E43" s="6" t="s">
        <v>142</v>
      </c>
      <c r="F43" s="28" t="s">
        <v>100</v>
      </c>
      <c r="G43" s="224" t="s">
        <v>1151</v>
      </c>
      <c r="H43" s="28" t="s">
        <v>620</v>
      </c>
      <c r="I43" s="6" t="s">
        <v>620</v>
      </c>
      <c r="J43" s="28" t="s">
        <v>620</v>
      </c>
      <c r="K43" s="224"/>
      <c r="L43" s="224"/>
      <c r="M43" s="28" t="s">
        <v>620</v>
      </c>
      <c r="N43" s="225" t="str">
        <f aca="false">Inputs!$H$28</f>
        <v>與擁有者無關的單一假設；下游公司模型以自身 WACC 覆寫（Andy 2026-09-30 決定）</v>
      </c>
      <c r="O43" s="6" t="s">
        <v>620</v>
      </c>
      <c r="P43" s="224" t="s">
        <v>3941</v>
      </c>
      <c r="Q43" s="189" t="n">
        <f aca="false">Inputs!F28</f>
        <v>0.13</v>
      </c>
      <c r="R43" s="28" t="s">
        <v>620</v>
      </c>
      <c r="S43" s="42" t="str">
        <f aca="false">IF(ISNUMBER($AF43),INDEX(IDX_SrcStat,$AF43),"—")</f>
        <v>—</v>
      </c>
      <c r="T43" s="42" t="str">
        <f aca="false">IF(ISNUMBER($AF43),INDEX(IDX_SrcGrade,$AF43),"—")</f>
        <v>—</v>
      </c>
      <c r="U43" s="42" t="s">
        <v>3886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2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2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3972</v>
      </c>
      <c r="B44" s="224" t="s">
        <v>3880</v>
      </c>
      <c r="C44" s="28" t="s">
        <v>3881</v>
      </c>
      <c r="D44" s="28" t="s">
        <v>3973</v>
      </c>
      <c r="E44" s="6" t="s">
        <v>145</v>
      </c>
      <c r="F44" s="28" t="s">
        <v>3974</v>
      </c>
      <c r="G44" s="224" t="s">
        <v>85</v>
      </c>
      <c r="H44" s="28" t="s">
        <v>620</v>
      </c>
      <c r="I44" s="6" t="s">
        <v>620</v>
      </c>
      <c r="J44" s="28" t="s">
        <v>3975</v>
      </c>
      <c r="K44" s="189" t="n">
        <f aca="false">Inputs!$D$30</f>
        <v>0.0102443497224425</v>
      </c>
      <c r="L44" s="189" t="n">
        <f aca="false">Inputs!$F$30</f>
        <v>0.0182477678962645</v>
      </c>
      <c r="M44" s="28" t="s">
        <v>620</v>
      </c>
      <c r="N44" s="6" t="s">
        <v>3976</v>
      </c>
      <c r="O44" s="6" t="s">
        <v>3977</v>
      </c>
      <c r="P44" s="224" t="s">
        <v>1150</v>
      </c>
      <c r="Q44" s="189" t="n">
        <f aca="false">Inputs!E30</f>
        <v>0.0157250107250107</v>
      </c>
      <c r="R44" s="28" t="s">
        <v>620</v>
      </c>
      <c r="S44" s="42" t="str">
        <f aca="false">IF(ISNUMBER($AF44),INDEX(IDX_SrcStat,$AF44),"—")</f>
        <v>—</v>
      </c>
      <c r="T44" s="42" t="str">
        <f aca="false">IF(ISNUMBER($AF44),INDEX(IDX_SrcGrade,$AF44),"—")</f>
        <v>—</v>
      </c>
      <c r="U44" s="42" t="s">
        <v>3978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2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2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3979</v>
      </c>
      <c r="B45" s="224" t="s">
        <v>3880</v>
      </c>
      <c r="C45" s="28" t="s">
        <v>3881</v>
      </c>
      <c r="D45" s="28" t="s">
        <v>3980</v>
      </c>
      <c r="E45" s="6" t="s">
        <v>145</v>
      </c>
      <c r="F45" s="28" t="s">
        <v>3974</v>
      </c>
      <c r="G45" s="224" t="s">
        <v>1150</v>
      </c>
      <c r="H45" s="28" t="s">
        <v>620</v>
      </c>
      <c r="I45" s="6" t="s">
        <v>620</v>
      </c>
      <c r="J45" s="28" t="s">
        <v>3975</v>
      </c>
      <c r="K45" s="224"/>
      <c r="L45" s="224"/>
      <c r="M45" s="28" t="s">
        <v>620</v>
      </c>
      <c r="N45" s="6" t="s">
        <v>3981</v>
      </c>
      <c r="O45" s="6" t="s">
        <v>3977</v>
      </c>
      <c r="P45" s="224" t="s">
        <v>1150</v>
      </c>
      <c r="Q45" s="189" t="n">
        <f aca="false">Inputs!D30</f>
        <v>0.0102443497224425</v>
      </c>
      <c r="R45" s="28" t="s">
        <v>620</v>
      </c>
      <c r="S45" s="42" t="str">
        <f aca="false">IF(ISNUMBER($AF45),INDEX(IDX_SrcStat,$AF45),"—")</f>
        <v>—</v>
      </c>
      <c r="T45" s="42" t="str">
        <f aca="false">IF(ISNUMBER($AF45),INDEX(IDX_SrcGrade,$AF45),"—")</f>
        <v>—</v>
      </c>
      <c r="U45" s="42" t="s">
        <v>3978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2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2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3982</v>
      </c>
      <c r="B46" s="224" t="s">
        <v>3880</v>
      </c>
      <c r="C46" s="28" t="s">
        <v>3881</v>
      </c>
      <c r="D46" s="28" t="s">
        <v>3983</v>
      </c>
      <c r="E46" s="6" t="s">
        <v>145</v>
      </c>
      <c r="F46" s="28" t="s">
        <v>3974</v>
      </c>
      <c r="G46" s="224" t="s">
        <v>1151</v>
      </c>
      <c r="H46" s="28" t="s">
        <v>620</v>
      </c>
      <c r="I46" s="6" t="s">
        <v>620</v>
      </c>
      <c r="J46" s="28" t="s">
        <v>3975</v>
      </c>
      <c r="K46" s="224"/>
      <c r="L46" s="224"/>
      <c r="M46" s="28" t="s">
        <v>620</v>
      </c>
      <c r="N46" s="6" t="s">
        <v>3984</v>
      </c>
      <c r="O46" s="6" t="s">
        <v>3977</v>
      </c>
      <c r="P46" s="224" t="s">
        <v>1150</v>
      </c>
      <c r="Q46" s="189" t="n">
        <f aca="false">Inputs!F30</f>
        <v>0.0182477678962645</v>
      </c>
      <c r="R46" s="28" t="s">
        <v>620</v>
      </c>
      <c r="S46" s="42" t="str">
        <f aca="false">IF(ISNUMBER($AF46),INDEX(IDX_SrcStat,$AF46),"—")</f>
        <v>—</v>
      </c>
      <c r="T46" s="42" t="str">
        <f aca="false">IF(ISNUMBER($AF46),INDEX(IDX_SrcGrade,$AF46),"—")</f>
        <v>—</v>
      </c>
      <c r="U46" s="42" t="s">
        <v>3978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2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2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3985</v>
      </c>
      <c r="B47" s="224" t="s">
        <v>3880</v>
      </c>
      <c r="C47" s="28" t="s">
        <v>3881</v>
      </c>
      <c r="D47" s="28" t="s">
        <v>3986</v>
      </c>
      <c r="E47" s="19" t="s">
        <v>149</v>
      </c>
      <c r="F47" s="28" t="s">
        <v>100</v>
      </c>
      <c r="G47" s="224" t="s">
        <v>85</v>
      </c>
      <c r="H47" s="28" t="s">
        <v>620</v>
      </c>
      <c r="I47" s="6" t="s">
        <v>620</v>
      </c>
      <c r="J47" s="28" t="s">
        <v>620</v>
      </c>
      <c r="K47" s="189" t="n">
        <f aca="false">Inputs!$D$31</f>
        <v>0.015</v>
      </c>
      <c r="L47" s="189" t="n">
        <f aca="false">Inputs!$F$31</f>
        <v>0.025</v>
      </c>
      <c r="M47" s="28" t="s">
        <v>620</v>
      </c>
      <c r="N47" s="6" t="s">
        <v>151</v>
      </c>
      <c r="O47" s="6" t="s">
        <v>3987</v>
      </c>
      <c r="P47" s="224" t="s">
        <v>1150</v>
      </c>
      <c r="Q47" s="189" t="n">
        <f aca="false">Inputs!E31</f>
        <v>0.02</v>
      </c>
      <c r="R47" s="28" t="s">
        <v>620</v>
      </c>
      <c r="S47" s="42" t="str">
        <f aca="false">IF(ISNUMBER($AF47),INDEX(IDX_SrcStat,$AF47),"—")</f>
        <v>—</v>
      </c>
      <c r="T47" s="42" t="str">
        <f aca="false">IF(ISNUMBER($AF47),INDEX(IDX_SrcGrade,$AF47),"—")</f>
        <v>—</v>
      </c>
      <c r="U47" s="42" t="s">
        <v>3886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2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2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3988</v>
      </c>
      <c r="B48" s="224" t="s">
        <v>3880</v>
      </c>
      <c r="C48" s="28" t="s">
        <v>3881</v>
      </c>
      <c r="D48" s="28" t="s">
        <v>3989</v>
      </c>
      <c r="E48" s="19" t="s">
        <v>149</v>
      </c>
      <c r="F48" s="28" t="s">
        <v>100</v>
      </c>
      <c r="G48" s="224" t="s">
        <v>1150</v>
      </c>
      <c r="H48" s="28" t="s">
        <v>620</v>
      </c>
      <c r="I48" s="6" t="s">
        <v>620</v>
      </c>
      <c r="J48" s="28" t="s">
        <v>620</v>
      </c>
      <c r="K48" s="224"/>
      <c r="L48" s="224"/>
      <c r="M48" s="28" t="s">
        <v>620</v>
      </c>
      <c r="N48" s="6" t="s">
        <v>151</v>
      </c>
      <c r="O48" s="6" t="s">
        <v>3987</v>
      </c>
      <c r="P48" s="224" t="s">
        <v>1150</v>
      </c>
      <c r="Q48" s="189" t="n">
        <f aca="false">Inputs!D31</f>
        <v>0.015</v>
      </c>
      <c r="R48" s="28" t="s">
        <v>620</v>
      </c>
      <c r="S48" s="42" t="str">
        <f aca="false">IF(ISNUMBER($AF48),INDEX(IDX_SrcStat,$AF48),"—")</f>
        <v>—</v>
      </c>
      <c r="T48" s="42" t="str">
        <f aca="false">IF(ISNUMBER($AF48),INDEX(IDX_SrcGrade,$AF48),"—")</f>
        <v>—</v>
      </c>
      <c r="U48" s="42" t="s">
        <v>3886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2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2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3990</v>
      </c>
      <c r="B49" s="224" t="s">
        <v>3880</v>
      </c>
      <c r="C49" s="28" t="s">
        <v>3881</v>
      </c>
      <c r="D49" s="28" t="s">
        <v>3991</v>
      </c>
      <c r="E49" s="19" t="s">
        <v>149</v>
      </c>
      <c r="F49" s="28" t="s">
        <v>100</v>
      </c>
      <c r="G49" s="224" t="s">
        <v>1151</v>
      </c>
      <c r="H49" s="28" t="s">
        <v>620</v>
      </c>
      <c r="I49" s="6" t="s">
        <v>620</v>
      </c>
      <c r="J49" s="28" t="s">
        <v>620</v>
      </c>
      <c r="K49" s="224"/>
      <c r="L49" s="224"/>
      <c r="M49" s="28" t="s">
        <v>620</v>
      </c>
      <c r="N49" s="6" t="s">
        <v>151</v>
      </c>
      <c r="O49" s="6" t="s">
        <v>3987</v>
      </c>
      <c r="P49" s="224" t="s">
        <v>1150</v>
      </c>
      <c r="Q49" s="189" t="n">
        <f aca="false">Inputs!F31</f>
        <v>0.025</v>
      </c>
      <c r="R49" s="28" t="s">
        <v>620</v>
      </c>
      <c r="S49" s="42" t="str">
        <f aca="false">IF(ISNUMBER($AF49),INDEX(IDX_SrcStat,$AF49),"—")</f>
        <v>—</v>
      </c>
      <c r="T49" s="42" t="str">
        <f aca="false">IF(ISNUMBER($AF49),INDEX(IDX_SrcGrade,$AF49),"—")</f>
        <v>—</v>
      </c>
      <c r="U49" s="42" t="s">
        <v>3886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2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2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3992</v>
      </c>
      <c r="B50" s="224" t="s">
        <v>3880</v>
      </c>
      <c r="C50" s="28" t="s">
        <v>3881</v>
      </c>
      <c r="D50" s="28" t="s">
        <v>3993</v>
      </c>
      <c r="E50" s="19" t="s">
        <v>152</v>
      </c>
      <c r="F50" s="28" t="s">
        <v>100</v>
      </c>
      <c r="G50" s="224" t="s">
        <v>85</v>
      </c>
      <c r="H50" s="28" t="s">
        <v>620</v>
      </c>
      <c r="I50" s="6" t="s">
        <v>620</v>
      </c>
      <c r="J50" s="28" t="s">
        <v>620</v>
      </c>
      <c r="K50" s="47" t="n">
        <f aca="false">Inputs!$D$32</f>
        <v>50</v>
      </c>
      <c r="L50" s="47" t="n">
        <f aca="false">Inputs!$F$32</f>
        <v>100</v>
      </c>
      <c r="M50" s="28" t="s">
        <v>620</v>
      </c>
      <c r="N50" s="225" t="str">
        <f aca="false">Inputs!$H$32</f>
        <v>v4：500 FTE × $150K</v>
      </c>
      <c r="O50" s="6" t="s">
        <v>620</v>
      </c>
      <c r="P50" s="224" t="s">
        <v>1150</v>
      </c>
      <c r="Q50" s="47" t="n">
        <f aca="false">Inputs!E32</f>
        <v>75</v>
      </c>
      <c r="R50" s="28" t="s">
        <v>620</v>
      </c>
      <c r="S50" s="42" t="str">
        <f aca="false">IF(ISNUMBER($AF50),INDEX(IDX_SrcStat,$AF50),"—")</f>
        <v>—</v>
      </c>
      <c r="T50" s="42" t="str">
        <f aca="false">IF(ISNUMBER($AF50),INDEX(IDX_SrcGrade,$AF50),"—")</f>
        <v>—</v>
      </c>
      <c r="U50" s="42" t="s">
        <v>3886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2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2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3994</v>
      </c>
      <c r="B51" s="224" t="s">
        <v>3880</v>
      </c>
      <c r="C51" s="28" t="s">
        <v>3881</v>
      </c>
      <c r="D51" s="28" t="s">
        <v>3995</v>
      </c>
      <c r="E51" s="19" t="s">
        <v>152</v>
      </c>
      <c r="F51" s="28" t="s">
        <v>100</v>
      </c>
      <c r="G51" s="224" t="s">
        <v>1150</v>
      </c>
      <c r="H51" s="28" t="s">
        <v>620</v>
      </c>
      <c r="I51" s="6" t="s">
        <v>620</v>
      </c>
      <c r="J51" s="28" t="s">
        <v>620</v>
      </c>
      <c r="K51" s="224"/>
      <c r="L51" s="224"/>
      <c r="M51" s="28" t="s">
        <v>620</v>
      </c>
      <c r="N51" s="225" t="str">
        <f aca="false">Inputs!$H$32</f>
        <v>v4：500 FTE × $150K</v>
      </c>
      <c r="O51" s="6" t="s">
        <v>620</v>
      </c>
      <c r="P51" s="224" t="s">
        <v>1150</v>
      </c>
      <c r="Q51" s="47" t="n">
        <f aca="false">Inputs!D32</f>
        <v>50</v>
      </c>
      <c r="R51" s="28" t="s">
        <v>620</v>
      </c>
      <c r="S51" s="42" t="str">
        <f aca="false">IF(ISNUMBER($AF51),INDEX(IDX_SrcStat,$AF51),"—")</f>
        <v>—</v>
      </c>
      <c r="T51" s="42" t="str">
        <f aca="false">IF(ISNUMBER($AF51),INDEX(IDX_SrcGrade,$AF51),"—")</f>
        <v>—</v>
      </c>
      <c r="U51" s="42" t="s">
        <v>3886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2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2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3996</v>
      </c>
      <c r="B52" s="224" t="s">
        <v>3880</v>
      </c>
      <c r="C52" s="28" t="s">
        <v>3881</v>
      </c>
      <c r="D52" s="28" t="s">
        <v>3997</v>
      </c>
      <c r="E52" s="19" t="s">
        <v>152</v>
      </c>
      <c r="F52" s="28" t="s">
        <v>100</v>
      </c>
      <c r="G52" s="224" t="s">
        <v>1151</v>
      </c>
      <c r="H52" s="28" t="s">
        <v>620</v>
      </c>
      <c r="I52" s="6" t="s">
        <v>620</v>
      </c>
      <c r="J52" s="28" t="s">
        <v>620</v>
      </c>
      <c r="K52" s="224"/>
      <c r="L52" s="224"/>
      <c r="M52" s="28" t="s">
        <v>620</v>
      </c>
      <c r="N52" s="225" t="str">
        <f aca="false">Inputs!$H$32</f>
        <v>v4：500 FTE × $150K</v>
      </c>
      <c r="O52" s="6" t="s">
        <v>620</v>
      </c>
      <c r="P52" s="224" t="s">
        <v>1150</v>
      </c>
      <c r="Q52" s="47" t="n">
        <f aca="false">Inputs!F32</f>
        <v>100</v>
      </c>
      <c r="R52" s="28" t="s">
        <v>620</v>
      </c>
      <c r="S52" s="42" t="str">
        <f aca="false">IF(ISNUMBER($AF52),INDEX(IDX_SrcStat,$AF52),"—")</f>
        <v>—</v>
      </c>
      <c r="T52" s="42" t="str">
        <f aca="false">IF(ISNUMBER($AF52),INDEX(IDX_SrcGrade,$AF52),"—")</f>
        <v>—</v>
      </c>
      <c r="U52" s="42" t="s">
        <v>3886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2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2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3998</v>
      </c>
      <c r="B53" s="224" t="s">
        <v>3880</v>
      </c>
      <c r="C53" s="28" t="s">
        <v>3881</v>
      </c>
      <c r="D53" s="28" t="s">
        <v>3999</v>
      </c>
      <c r="E53" s="19" t="s">
        <v>155</v>
      </c>
      <c r="F53" s="28" t="s">
        <v>100</v>
      </c>
      <c r="G53" s="224" t="s">
        <v>85</v>
      </c>
      <c r="H53" s="28" t="s">
        <v>620</v>
      </c>
      <c r="I53" s="6" t="s">
        <v>620</v>
      </c>
      <c r="J53" s="28" t="s">
        <v>620</v>
      </c>
      <c r="K53" s="47" t="n">
        <f aca="false">Inputs!$D$33</f>
        <v>150</v>
      </c>
      <c r="L53" s="47" t="n">
        <f aca="false">Inputs!$F$33</f>
        <v>250</v>
      </c>
      <c r="M53" s="28" t="s">
        <v>620</v>
      </c>
      <c r="N53" s="225" t="str">
        <f aca="false">Inputs!$H$33</f>
        <v>v4＝$200M</v>
      </c>
      <c r="O53" s="6" t="s">
        <v>620</v>
      </c>
      <c r="P53" s="224" t="s">
        <v>1150</v>
      </c>
      <c r="Q53" s="47" t="n">
        <f aca="false">Inputs!E33</f>
        <v>200</v>
      </c>
      <c r="R53" s="28" t="s">
        <v>620</v>
      </c>
      <c r="S53" s="42" t="str">
        <f aca="false">IF(ISNUMBER($AF53),INDEX(IDX_SrcStat,$AF53),"—")</f>
        <v>—</v>
      </c>
      <c r="T53" s="42" t="str">
        <f aca="false">IF(ISNUMBER($AF53),INDEX(IDX_SrcGrade,$AF53),"—")</f>
        <v>—</v>
      </c>
      <c r="U53" s="42" t="s">
        <v>3886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2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2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4000</v>
      </c>
      <c r="B54" s="224" t="s">
        <v>3880</v>
      </c>
      <c r="C54" s="28" t="s">
        <v>3881</v>
      </c>
      <c r="D54" s="28" t="s">
        <v>4001</v>
      </c>
      <c r="E54" s="19" t="s">
        <v>155</v>
      </c>
      <c r="F54" s="28" t="s">
        <v>100</v>
      </c>
      <c r="G54" s="224" t="s">
        <v>1150</v>
      </c>
      <c r="H54" s="28" t="s">
        <v>620</v>
      </c>
      <c r="I54" s="6" t="s">
        <v>620</v>
      </c>
      <c r="J54" s="28" t="s">
        <v>620</v>
      </c>
      <c r="K54" s="224"/>
      <c r="L54" s="224"/>
      <c r="M54" s="28" t="s">
        <v>620</v>
      </c>
      <c r="N54" s="225" t="str">
        <f aca="false">Inputs!$H$33</f>
        <v>v4＝$200M</v>
      </c>
      <c r="O54" s="6" t="s">
        <v>620</v>
      </c>
      <c r="P54" s="224" t="s">
        <v>1150</v>
      </c>
      <c r="Q54" s="47" t="n">
        <f aca="false">Inputs!D33</f>
        <v>150</v>
      </c>
      <c r="R54" s="28" t="s">
        <v>620</v>
      </c>
      <c r="S54" s="42" t="str">
        <f aca="false">IF(ISNUMBER($AF54),INDEX(IDX_SrcStat,$AF54),"—")</f>
        <v>—</v>
      </c>
      <c r="T54" s="42" t="str">
        <f aca="false">IF(ISNUMBER($AF54),INDEX(IDX_SrcGrade,$AF54),"—")</f>
        <v>—</v>
      </c>
      <c r="U54" s="42" t="s">
        <v>3886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2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2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4002</v>
      </c>
      <c r="B55" s="224" t="s">
        <v>3880</v>
      </c>
      <c r="C55" s="28" t="s">
        <v>3881</v>
      </c>
      <c r="D55" s="28" t="s">
        <v>4003</v>
      </c>
      <c r="E55" s="19" t="s">
        <v>155</v>
      </c>
      <c r="F55" s="28" t="s">
        <v>100</v>
      </c>
      <c r="G55" s="224" t="s">
        <v>1151</v>
      </c>
      <c r="H55" s="28" t="s">
        <v>620</v>
      </c>
      <c r="I55" s="6" t="s">
        <v>620</v>
      </c>
      <c r="J55" s="28" t="s">
        <v>620</v>
      </c>
      <c r="K55" s="224"/>
      <c r="L55" s="224"/>
      <c r="M55" s="28" t="s">
        <v>620</v>
      </c>
      <c r="N55" s="225" t="str">
        <f aca="false">Inputs!$H$33</f>
        <v>v4＝$200M</v>
      </c>
      <c r="O55" s="6" t="s">
        <v>620</v>
      </c>
      <c r="P55" s="224" t="s">
        <v>1150</v>
      </c>
      <c r="Q55" s="47" t="n">
        <f aca="false">Inputs!F33</f>
        <v>250</v>
      </c>
      <c r="R55" s="28" t="s">
        <v>620</v>
      </c>
      <c r="S55" s="42" t="str">
        <f aca="false">IF(ISNUMBER($AF55),INDEX(IDX_SrcStat,$AF55),"—")</f>
        <v>—</v>
      </c>
      <c r="T55" s="42" t="str">
        <f aca="false">IF(ISNUMBER($AF55),INDEX(IDX_SrcGrade,$AF55),"—")</f>
        <v>—</v>
      </c>
      <c r="U55" s="42" t="s">
        <v>3886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2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2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4004</v>
      </c>
      <c r="B56" s="224" t="s">
        <v>3880</v>
      </c>
      <c r="C56" s="28" t="s">
        <v>3881</v>
      </c>
      <c r="D56" s="28" t="s">
        <v>4005</v>
      </c>
      <c r="E56" s="19" t="s">
        <v>157</v>
      </c>
      <c r="F56" s="28" t="s">
        <v>100</v>
      </c>
      <c r="G56" s="224" t="s">
        <v>85</v>
      </c>
      <c r="H56" s="28" t="s">
        <v>620</v>
      </c>
      <c r="I56" s="6" t="s">
        <v>620</v>
      </c>
      <c r="J56" s="28" t="s">
        <v>620</v>
      </c>
      <c r="K56" s="185" t="n">
        <f aca="false">Inputs!$D$34</f>
        <v>0.04</v>
      </c>
      <c r="L56" s="185" t="n">
        <f aca="false">Inputs!$F$34</f>
        <v>0.06</v>
      </c>
      <c r="M56" s="28" t="s">
        <v>620</v>
      </c>
      <c r="N56" s="225" t="str">
        <f aca="false">Inputs!$H$34</f>
        <v>v4＝$50K/MW</v>
      </c>
      <c r="O56" s="6" t="s">
        <v>620</v>
      </c>
      <c r="P56" s="224" t="s">
        <v>1150</v>
      </c>
      <c r="Q56" s="185" t="n">
        <f aca="false">Inputs!E34</f>
        <v>0.05</v>
      </c>
      <c r="R56" s="28" t="s">
        <v>620</v>
      </c>
      <c r="S56" s="42" t="str">
        <f aca="false">IF(ISNUMBER($AF56),INDEX(IDX_SrcStat,$AF56),"—")</f>
        <v>—</v>
      </c>
      <c r="T56" s="42" t="str">
        <f aca="false">IF(ISNUMBER($AF56),INDEX(IDX_SrcGrade,$AF56),"—")</f>
        <v>—</v>
      </c>
      <c r="U56" s="42" t="s">
        <v>3886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2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2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4006</v>
      </c>
      <c r="B57" s="224" t="s">
        <v>3880</v>
      </c>
      <c r="C57" s="28" t="s">
        <v>3881</v>
      </c>
      <c r="D57" s="28" t="s">
        <v>4007</v>
      </c>
      <c r="E57" s="19" t="s">
        <v>157</v>
      </c>
      <c r="F57" s="28" t="s">
        <v>100</v>
      </c>
      <c r="G57" s="224" t="s">
        <v>1150</v>
      </c>
      <c r="H57" s="28" t="s">
        <v>620</v>
      </c>
      <c r="I57" s="6" t="s">
        <v>620</v>
      </c>
      <c r="J57" s="28" t="s">
        <v>620</v>
      </c>
      <c r="K57" s="224"/>
      <c r="L57" s="224"/>
      <c r="M57" s="28" t="s">
        <v>620</v>
      </c>
      <c r="N57" s="225" t="str">
        <f aca="false">Inputs!$H$34</f>
        <v>v4＝$50K/MW</v>
      </c>
      <c r="O57" s="6" t="s">
        <v>620</v>
      </c>
      <c r="P57" s="224" t="s">
        <v>1150</v>
      </c>
      <c r="Q57" s="185" t="n">
        <f aca="false">Inputs!D34</f>
        <v>0.04</v>
      </c>
      <c r="R57" s="28" t="s">
        <v>620</v>
      </c>
      <c r="S57" s="42" t="str">
        <f aca="false">IF(ISNUMBER($AF57),INDEX(IDX_SrcStat,$AF57),"—")</f>
        <v>—</v>
      </c>
      <c r="T57" s="42" t="str">
        <f aca="false">IF(ISNUMBER($AF57),INDEX(IDX_SrcGrade,$AF57),"—")</f>
        <v>—</v>
      </c>
      <c r="U57" s="42" t="s">
        <v>3886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2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2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4008</v>
      </c>
      <c r="B58" s="224" t="s">
        <v>3880</v>
      </c>
      <c r="C58" s="28" t="s">
        <v>3881</v>
      </c>
      <c r="D58" s="28" t="s">
        <v>4009</v>
      </c>
      <c r="E58" s="19" t="s">
        <v>157</v>
      </c>
      <c r="F58" s="28" t="s">
        <v>100</v>
      </c>
      <c r="G58" s="224" t="s">
        <v>1151</v>
      </c>
      <c r="H58" s="28" t="s">
        <v>620</v>
      </c>
      <c r="I58" s="6" t="s">
        <v>620</v>
      </c>
      <c r="J58" s="28" t="s">
        <v>620</v>
      </c>
      <c r="K58" s="224"/>
      <c r="L58" s="224"/>
      <c r="M58" s="28" t="s">
        <v>620</v>
      </c>
      <c r="N58" s="225" t="str">
        <f aca="false">Inputs!$H$34</f>
        <v>v4＝$50K/MW</v>
      </c>
      <c r="O58" s="6" t="s">
        <v>620</v>
      </c>
      <c r="P58" s="224" t="s">
        <v>1150</v>
      </c>
      <c r="Q58" s="185" t="n">
        <f aca="false">Inputs!F34</f>
        <v>0.06</v>
      </c>
      <c r="R58" s="28" t="s">
        <v>620</v>
      </c>
      <c r="S58" s="42" t="str">
        <f aca="false">IF(ISNUMBER($AF58),INDEX(IDX_SrcStat,$AF58),"—")</f>
        <v>—</v>
      </c>
      <c r="T58" s="42" t="str">
        <f aca="false">IF(ISNUMBER($AF58),INDEX(IDX_SrcGrade,$AF58),"—")</f>
        <v>—</v>
      </c>
      <c r="U58" s="42" t="s">
        <v>3886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2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2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4010</v>
      </c>
      <c r="B59" s="224" t="s">
        <v>3880</v>
      </c>
      <c r="C59" s="28" t="s">
        <v>3881</v>
      </c>
      <c r="D59" s="28" t="s">
        <v>4011</v>
      </c>
      <c r="E59" s="19" t="s">
        <v>160</v>
      </c>
      <c r="F59" s="28" t="s">
        <v>100</v>
      </c>
      <c r="G59" s="224" t="s">
        <v>85</v>
      </c>
      <c r="H59" s="28" t="s">
        <v>620</v>
      </c>
      <c r="I59" s="6" t="s">
        <v>620</v>
      </c>
      <c r="J59" s="28" t="s">
        <v>620</v>
      </c>
      <c r="K59" s="189" t="n">
        <f aca="false">Inputs!$D$35</f>
        <v>0.003</v>
      </c>
      <c r="L59" s="189" t="n">
        <f aca="false">Inputs!$F$35</f>
        <v>0.008</v>
      </c>
      <c r="M59" s="28" t="s">
        <v>620</v>
      </c>
      <c r="N59" s="225" t="str">
        <f aca="false">Inputs!$H$35</f>
        <v>v4＝0.5%</v>
      </c>
      <c r="O59" s="6" t="s">
        <v>3987</v>
      </c>
      <c r="P59" s="224" t="s">
        <v>1150</v>
      </c>
      <c r="Q59" s="189" t="n">
        <f aca="false">Inputs!E35</f>
        <v>0.005</v>
      </c>
      <c r="R59" s="28" t="s">
        <v>620</v>
      </c>
      <c r="S59" s="42" t="str">
        <f aca="false">IF(ISNUMBER($AF59),INDEX(IDX_SrcStat,$AF59),"—")</f>
        <v>—</v>
      </c>
      <c r="T59" s="42" t="str">
        <f aca="false">IF(ISNUMBER($AF59),INDEX(IDX_SrcGrade,$AF59),"—")</f>
        <v>—</v>
      </c>
      <c r="U59" s="42" t="s">
        <v>3886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2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2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4012</v>
      </c>
      <c r="B60" s="224" t="s">
        <v>3880</v>
      </c>
      <c r="C60" s="28" t="s">
        <v>3881</v>
      </c>
      <c r="D60" s="28" t="s">
        <v>4013</v>
      </c>
      <c r="E60" s="19" t="s">
        <v>160</v>
      </c>
      <c r="F60" s="28" t="s">
        <v>100</v>
      </c>
      <c r="G60" s="224" t="s">
        <v>1150</v>
      </c>
      <c r="H60" s="28" t="s">
        <v>620</v>
      </c>
      <c r="I60" s="6" t="s">
        <v>620</v>
      </c>
      <c r="J60" s="28" t="s">
        <v>620</v>
      </c>
      <c r="K60" s="224"/>
      <c r="L60" s="224"/>
      <c r="M60" s="28" t="s">
        <v>620</v>
      </c>
      <c r="N60" s="225" t="str">
        <f aca="false">Inputs!$H$35</f>
        <v>v4＝0.5%</v>
      </c>
      <c r="O60" s="6" t="s">
        <v>3987</v>
      </c>
      <c r="P60" s="224" t="s">
        <v>1150</v>
      </c>
      <c r="Q60" s="189" t="n">
        <f aca="false">Inputs!D35</f>
        <v>0.003</v>
      </c>
      <c r="R60" s="28" t="s">
        <v>620</v>
      </c>
      <c r="S60" s="42" t="str">
        <f aca="false">IF(ISNUMBER($AF60),INDEX(IDX_SrcStat,$AF60),"—")</f>
        <v>—</v>
      </c>
      <c r="T60" s="42" t="str">
        <f aca="false">IF(ISNUMBER($AF60),INDEX(IDX_SrcGrade,$AF60),"—")</f>
        <v>—</v>
      </c>
      <c r="U60" s="42" t="s">
        <v>3886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2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2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4014</v>
      </c>
      <c r="B61" s="224" t="s">
        <v>3880</v>
      </c>
      <c r="C61" s="28" t="s">
        <v>3881</v>
      </c>
      <c r="D61" s="28" t="s">
        <v>4015</v>
      </c>
      <c r="E61" s="19" t="s">
        <v>160</v>
      </c>
      <c r="F61" s="28" t="s">
        <v>100</v>
      </c>
      <c r="G61" s="224" t="s">
        <v>1151</v>
      </c>
      <c r="H61" s="28" t="s">
        <v>620</v>
      </c>
      <c r="I61" s="6" t="s">
        <v>620</v>
      </c>
      <c r="J61" s="28" t="s">
        <v>620</v>
      </c>
      <c r="K61" s="224"/>
      <c r="L61" s="224"/>
      <c r="M61" s="28" t="s">
        <v>620</v>
      </c>
      <c r="N61" s="225" t="str">
        <f aca="false">Inputs!$H$35</f>
        <v>v4＝0.5%</v>
      </c>
      <c r="O61" s="6" t="s">
        <v>3987</v>
      </c>
      <c r="P61" s="224" t="s">
        <v>1150</v>
      </c>
      <c r="Q61" s="189" t="n">
        <f aca="false">Inputs!F35</f>
        <v>0.008</v>
      </c>
      <c r="R61" s="28" t="s">
        <v>620</v>
      </c>
      <c r="S61" s="42" t="str">
        <f aca="false">IF(ISNUMBER($AF61),INDEX(IDX_SrcStat,$AF61),"—")</f>
        <v>—</v>
      </c>
      <c r="T61" s="42" t="str">
        <f aca="false">IF(ISNUMBER($AF61),INDEX(IDX_SrcGrade,$AF61),"—")</f>
        <v>—</v>
      </c>
      <c r="U61" s="42" t="s">
        <v>3886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2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2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4016</v>
      </c>
      <c r="B62" s="224" t="s">
        <v>3880</v>
      </c>
      <c r="C62" s="28" t="s">
        <v>3881</v>
      </c>
      <c r="D62" s="28" t="s">
        <v>4017</v>
      </c>
      <c r="E62" s="6" t="s">
        <v>133</v>
      </c>
      <c r="F62" s="224" t="s">
        <v>332</v>
      </c>
      <c r="G62" s="224" t="s">
        <v>3882</v>
      </c>
      <c r="H62" s="28" t="s">
        <v>4018</v>
      </c>
      <c r="I62" s="19" t="s">
        <v>3917</v>
      </c>
      <c r="J62" s="28" t="s">
        <v>4019</v>
      </c>
      <c r="K62" s="224"/>
      <c r="L62" s="224"/>
      <c r="M62" s="28" t="s">
        <v>620</v>
      </c>
      <c r="N62" s="19" t="s">
        <v>4020</v>
      </c>
      <c r="O62" s="6" t="s">
        <v>620</v>
      </c>
      <c r="P62" s="224" t="s">
        <v>1151</v>
      </c>
      <c r="Q62" s="47" t="n">
        <f aca="false">Inputs!D23</f>
        <v>6</v>
      </c>
      <c r="R62" s="177" t="n">
        <f aca="false">SRC_DC_007</f>
        <v>6</v>
      </c>
      <c r="S62" s="42" t="str">
        <f aca="false">IF(ISNUMBER($AF62),INDEX(IDX_SrcStat,$AF62),"—")</f>
        <v>Active</v>
      </c>
      <c r="T62" s="42" t="n">
        <f aca="false">IF(ISNUMBER($AF62),INDEX(IDX_SrcGrade,$AF62),"—")</f>
        <v>2</v>
      </c>
      <c r="U62" s="42" t="s">
        <v>3919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2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2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4021</v>
      </c>
      <c r="B63" s="224" t="s">
        <v>3880</v>
      </c>
      <c r="C63" s="28" t="s">
        <v>3881</v>
      </c>
      <c r="D63" s="28" t="s">
        <v>4022</v>
      </c>
      <c r="E63" s="6" t="s">
        <v>133</v>
      </c>
      <c r="F63" s="224" t="s">
        <v>332</v>
      </c>
      <c r="G63" s="224" t="s">
        <v>3882</v>
      </c>
      <c r="H63" s="28" t="s">
        <v>4018</v>
      </c>
      <c r="I63" s="19" t="s">
        <v>3917</v>
      </c>
      <c r="J63" s="28" t="s">
        <v>4019</v>
      </c>
      <c r="K63" s="224"/>
      <c r="L63" s="224"/>
      <c r="M63" s="28" t="s">
        <v>620</v>
      </c>
      <c r="N63" s="19" t="s">
        <v>4020</v>
      </c>
      <c r="O63" s="6" t="s">
        <v>620</v>
      </c>
      <c r="P63" s="224" t="s">
        <v>1151</v>
      </c>
      <c r="Q63" s="47" t="n">
        <f aca="false">Inputs!E23</f>
        <v>6</v>
      </c>
      <c r="R63" s="177" t="n">
        <f aca="false">SRC_DC_007</f>
        <v>6</v>
      </c>
      <c r="S63" s="42" t="str">
        <f aca="false">IF(ISNUMBER($AF63),INDEX(IDX_SrcStat,$AF63),"—")</f>
        <v>Active</v>
      </c>
      <c r="T63" s="42" t="n">
        <f aca="false">IF(ISNUMBER($AF63),INDEX(IDX_SrcGrade,$AF63),"—")</f>
        <v>2</v>
      </c>
      <c r="U63" s="42" t="s">
        <v>3919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2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2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4023</v>
      </c>
      <c r="B64" s="224" t="s">
        <v>3880</v>
      </c>
      <c r="C64" s="28" t="s">
        <v>3881</v>
      </c>
      <c r="D64" s="28" t="s">
        <v>4024</v>
      </c>
      <c r="E64" s="6" t="s">
        <v>133</v>
      </c>
      <c r="F64" s="224" t="s">
        <v>332</v>
      </c>
      <c r="G64" s="224" t="s">
        <v>3882</v>
      </c>
      <c r="H64" s="28" t="s">
        <v>4025</v>
      </c>
      <c r="I64" s="19" t="s">
        <v>3917</v>
      </c>
      <c r="J64" s="28" t="s">
        <v>4019</v>
      </c>
      <c r="K64" s="224"/>
      <c r="L64" s="224"/>
      <c r="M64" s="28" t="s">
        <v>620</v>
      </c>
      <c r="N64" s="19" t="s">
        <v>4020</v>
      </c>
      <c r="O64" s="6" t="s">
        <v>620</v>
      </c>
      <c r="P64" s="224" t="s">
        <v>1151</v>
      </c>
      <c r="Q64" s="47" t="n">
        <f aca="false">Inputs!F23</f>
        <v>4</v>
      </c>
      <c r="R64" s="177" t="n">
        <f aca="false">SRC_DC_008</f>
        <v>4</v>
      </c>
      <c r="S64" s="42" t="str">
        <f aca="false">IF(ISNUMBER($AF64),INDEX(IDX_SrcStat,$AF64),"—")</f>
        <v>Active</v>
      </c>
      <c r="T64" s="42" t="n">
        <f aca="false">IF(ISNUMBER($AF64),INDEX(IDX_SrcGrade,$AF64),"—")</f>
        <v>2</v>
      </c>
      <c r="U64" s="42" t="s">
        <v>3919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2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2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4026</v>
      </c>
      <c r="B65" s="224" t="s">
        <v>3880</v>
      </c>
      <c r="C65" s="28" t="s">
        <v>3881</v>
      </c>
      <c r="D65" s="28" t="s">
        <v>4027</v>
      </c>
      <c r="E65" s="19" t="s">
        <v>137</v>
      </c>
      <c r="F65" s="28" t="s">
        <v>100</v>
      </c>
      <c r="G65" s="224" t="s">
        <v>85</v>
      </c>
      <c r="H65" s="28" t="s">
        <v>620</v>
      </c>
      <c r="I65" s="6" t="s">
        <v>620</v>
      </c>
      <c r="J65" s="28" t="s">
        <v>620</v>
      </c>
      <c r="K65" s="226" t="n">
        <v>25</v>
      </c>
      <c r="L65" s="226" t="n">
        <v>40</v>
      </c>
      <c r="M65" s="28" t="s">
        <v>4028</v>
      </c>
      <c r="N65" s="19" t="s">
        <v>4029</v>
      </c>
      <c r="O65" s="6" t="s">
        <v>4030</v>
      </c>
      <c r="P65" s="224" t="s">
        <v>1150</v>
      </c>
      <c r="Q65" s="47" t="n">
        <f aca="false">Inputs!E24</f>
        <v>30</v>
      </c>
      <c r="R65" s="28" t="s">
        <v>620</v>
      </c>
      <c r="S65" s="42" t="str">
        <f aca="false">IF(ISNUMBER($AF65),INDEX(IDX_SrcStat,$AF65),"—")</f>
        <v>—</v>
      </c>
      <c r="T65" s="42" t="str">
        <f aca="false">IF(ISNUMBER($AF65),INDEX(IDX_SrcGrade,$AF65),"—")</f>
        <v>—</v>
      </c>
      <c r="U65" s="42" t="s">
        <v>3886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2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2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4031</v>
      </c>
      <c r="B66" s="224" t="s">
        <v>3880</v>
      </c>
      <c r="C66" s="28" t="s">
        <v>3881</v>
      </c>
      <c r="D66" s="28" t="s">
        <v>4032</v>
      </c>
      <c r="E66" s="19" t="s">
        <v>139</v>
      </c>
      <c r="F66" s="28" t="s">
        <v>100</v>
      </c>
      <c r="G66" s="224" t="s">
        <v>85</v>
      </c>
      <c r="H66" s="28" t="s">
        <v>620</v>
      </c>
      <c r="I66" s="6" t="s">
        <v>620</v>
      </c>
      <c r="J66" s="28" t="s">
        <v>620</v>
      </c>
      <c r="K66" s="226" t="n">
        <v>15</v>
      </c>
      <c r="L66" s="226" t="n">
        <v>25</v>
      </c>
      <c r="M66" s="28" t="s">
        <v>4033</v>
      </c>
      <c r="N66" s="19" t="s">
        <v>4034</v>
      </c>
      <c r="O66" s="6" t="s">
        <v>4030</v>
      </c>
      <c r="P66" s="224" t="s">
        <v>1150</v>
      </c>
      <c r="Q66" s="47" t="n">
        <f aca="false">Inputs!E25</f>
        <v>20</v>
      </c>
      <c r="R66" s="28" t="s">
        <v>620</v>
      </c>
      <c r="S66" s="42" t="str">
        <f aca="false">IF(ISNUMBER($AF66),INDEX(IDX_SrcStat,$AF66),"—")</f>
        <v>—</v>
      </c>
      <c r="T66" s="42" t="str">
        <f aca="false">IF(ISNUMBER($AF66),INDEX(IDX_SrcGrade,$AF66),"—")</f>
        <v>—</v>
      </c>
      <c r="U66" s="42" t="s">
        <v>3886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2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2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4035</v>
      </c>
      <c r="B67" s="224" t="s">
        <v>3880</v>
      </c>
      <c r="C67" s="28" t="s">
        <v>3881</v>
      </c>
      <c r="D67" s="28" t="s">
        <v>4036</v>
      </c>
      <c r="E67" s="19" t="s">
        <v>140</v>
      </c>
      <c r="F67" s="28" t="s">
        <v>100</v>
      </c>
      <c r="G67" s="224" t="s">
        <v>85</v>
      </c>
      <c r="H67" s="28" t="s">
        <v>620</v>
      </c>
      <c r="I67" s="6" t="s">
        <v>620</v>
      </c>
      <c r="J67" s="28" t="s">
        <v>620</v>
      </c>
      <c r="K67" s="226" t="n">
        <v>10</v>
      </c>
      <c r="L67" s="226" t="n">
        <v>20</v>
      </c>
      <c r="M67" s="28" t="s">
        <v>4037</v>
      </c>
      <c r="N67" s="19" t="s">
        <v>4038</v>
      </c>
      <c r="O67" s="6" t="s">
        <v>4030</v>
      </c>
      <c r="P67" s="224" t="s">
        <v>1150</v>
      </c>
      <c r="Q67" s="47" t="n">
        <f aca="false">Inputs!E26</f>
        <v>15</v>
      </c>
      <c r="R67" s="28" t="s">
        <v>620</v>
      </c>
      <c r="S67" s="42" t="str">
        <f aca="false">IF(ISNUMBER($AF67),INDEX(IDX_SrcStat,$AF67),"—")</f>
        <v>—</v>
      </c>
      <c r="T67" s="42" t="str">
        <f aca="false">IF(ISNUMBER($AF67),INDEX(IDX_SrcGrade,$AF67),"—")</f>
        <v>—</v>
      </c>
      <c r="U67" s="42" t="s">
        <v>3886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2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2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4039</v>
      </c>
      <c r="B68" s="224" t="s">
        <v>3880</v>
      </c>
      <c r="C68" s="28" t="s">
        <v>3881</v>
      </c>
      <c r="D68" s="28" t="s">
        <v>4040</v>
      </c>
      <c r="E68" s="19" t="s">
        <v>141</v>
      </c>
      <c r="F68" s="28" t="s">
        <v>100</v>
      </c>
      <c r="G68" s="224" t="s">
        <v>85</v>
      </c>
      <c r="H68" s="28" t="s">
        <v>620</v>
      </c>
      <c r="I68" s="6" t="s">
        <v>620</v>
      </c>
      <c r="J68" s="28" t="s">
        <v>620</v>
      </c>
      <c r="K68" s="226" t="n">
        <v>7</v>
      </c>
      <c r="L68" s="226" t="n">
        <v>15</v>
      </c>
      <c r="M68" s="28" t="s">
        <v>4041</v>
      </c>
      <c r="N68" s="19" t="s">
        <v>4042</v>
      </c>
      <c r="O68" s="6" t="s">
        <v>4030</v>
      </c>
      <c r="P68" s="224" t="s">
        <v>1150</v>
      </c>
      <c r="Q68" s="47" t="n">
        <f aca="false">Inputs!E27</f>
        <v>10</v>
      </c>
      <c r="R68" s="28" t="s">
        <v>620</v>
      </c>
      <c r="S68" s="42" t="str">
        <f aca="false">IF(ISNUMBER($AF68),INDEX(IDX_SrcStat,$AF68),"—")</f>
        <v>—</v>
      </c>
      <c r="T68" s="42" t="str">
        <f aca="false">IF(ISNUMBER($AF68),INDEX(IDX_SrcGrade,$AF68),"—")</f>
        <v>—</v>
      </c>
      <c r="U68" s="42" t="s">
        <v>3886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2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2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4043</v>
      </c>
      <c r="B69" s="224" t="s">
        <v>3880</v>
      </c>
      <c r="C69" s="28" t="s">
        <v>4044</v>
      </c>
      <c r="D69" s="28" t="s">
        <v>4045</v>
      </c>
      <c r="E69" s="6" t="s">
        <v>184</v>
      </c>
      <c r="F69" s="28" t="s">
        <v>92</v>
      </c>
      <c r="G69" s="224" t="s">
        <v>3882</v>
      </c>
      <c r="H69" s="28" t="s">
        <v>620</v>
      </c>
      <c r="I69" s="6" t="s">
        <v>620</v>
      </c>
      <c r="J69" s="28" t="s">
        <v>4046</v>
      </c>
      <c r="K69" s="224"/>
      <c r="L69" s="224"/>
      <c r="M69" s="28" t="s">
        <v>620</v>
      </c>
      <c r="N69" s="6" t="s">
        <v>4047</v>
      </c>
      <c r="O69" s="6" t="s">
        <v>620</v>
      </c>
      <c r="P69" s="224" t="s">
        <v>1151</v>
      </c>
      <c r="Q69" s="47" t="n">
        <f aca="false">Spec_Rack!C6</f>
        <v>32</v>
      </c>
      <c r="R69" s="28" t="s">
        <v>620</v>
      </c>
      <c r="S69" s="42" t="str">
        <f aca="false">IF(ISNUMBER($AF69),INDEX(IDX_SrcStat,$AF69),"—")</f>
        <v>—</v>
      </c>
      <c r="T69" s="42" t="str">
        <f aca="false">IF(ISNUMBER($AF69),INDEX(IDX_SrcGrade,$AF69),"—")</f>
        <v>—</v>
      </c>
      <c r="U69" s="42" t="s">
        <v>3886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2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2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4048</v>
      </c>
      <c r="B70" s="224" t="s">
        <v>3880</v>
      </c>
      <c r="C70" s="28" t="s">
        <v>4044</v>
      </c>
      <c r="D70" s="28" t="s">
        <v>4049</v>
      </c>
      <c r="E70" s="6" t="s">
        <v>184</v>
      </c>
      <c r="F70" s="224" t="s">
        <v>332</v>
      </c>
      <c r="G70" s="224" t="s">
        <v>3882</v>
      </c>
      <c r="H70" s="28" t="s">
        <v>4050</v>
      </c>
      <c r="I70" s="19" t="s">
        <v>3917</v>
      </c>
      <c r="J70" s="28" t="s">
        <v>620</v>
      </c>
      <c r="K70" s="224"/>
      <c r="L70" s="224"/>
      <c r="M70" s="28" t="s">
        <v>620</v>
      </c>
      <c r="N70" s="19" t="s">
        <v>4020</v>
      </c>
      <c r="O70" s="6" t="s">
        <v>620</v>
      </c>
      <c r="P70" s="224" t="s">
        <v>1151</v>
      </c>
      <c r="Q70" s="47" t="n">
        <f aca="false">Spec_Rack!D6</f>
        <v>72</v>
      </c>
      <c r="R70" s="177" t="n">
        <f aca="false">SRC_HW_047</f>
        <v>72</v>
      </c>
      <c r="S70" s="42" t="str">
        <f aca="false">IF(ISNUMBER($AF70),INDEX(IDX_SrcStat,$AF70),"—")</f>
        <v>Active</v>
      </c>
      <c r="T70" s="42" t="n">
        <f aca="false">IF(ISNUMBER($AF70),INDEX(IDX_SrcGrade,$AF70),"—")</f>
        <v>1</v>
      </c>
      <c r="U70" s="42" t="s">
        <v>3919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2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2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4051</v>
      </c>
      <c r="B71" s="224" t="s">
        <v>3880</v>
      </c>
      <c r="C71" s="28" t="s">
        <v>4044</v>
      </c>
      <c r="D71" s="28" t="s">
        <v>3733</v>
      </c>
      <c r="E71" s="6" t="s">
        <v>184</v>
      </c>
      <c r="F71" s="224" t="s">
        <v>332</v>
      </c>
      <c r="G71" s="224" t="s">
        <v>3882</v>
      </c>
      <c r="H71" s="28" t="s">
        <v>4050</v>
      </c>
      <c r="I71" s="19" t="s">
        <v>3917</v>
      </c>
      <c r="J71" s="28" t="s">
        <v>620</v>
      </c>
      <c r="K71" s="224"/>
      <c r="L71" s="224"/>
      <c r="M71" s="28" t="s">
        <v>620</v>
      </c>
      <c r="N71" s="19" t="s">
        <v>4020</v>
      </c>
      <c r="O71" s="6" t="s">
        <v>620</v>
      </c>
      <c r="P71" s="224" t="s">
        <v>1151</v>
      </c>
      <c r="Q71" s="47" t="n">
        <f aca="false">Spec_Rack!E6</f>
        <v>72</v>
      </c>
      <c r="R71" s="177" t="n">
        <f aca="false">SRC_HW_047</f>
        <v>72</v>
      </c>
      <c r="S71" s="42" t="str">
        <f aca="false">IF(ISNUMBER($AF71),INDEX(IDX_SrcStat,$AF71),"—")</f>
        <v>Active</v>
      </c>
      <c r="T71" s="42" t="n">
        <f aca="false">IF(ISNUMBER($AF71),INDEX(IDX_SrcGrade,$AF71),"—")</f>
        <v>1</v>
      </c>
      <c r="U71" s="42" t="s">
        <v>3919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2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2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4052</v>
      </c>
      <c r="B72" s="224" t="s">
        <v>3880</v>
      </c>
      <c r="C72" s="28" t="s">
        <v>4044</v>
      </c>
      <c r="D72" s="28" t="s">
        <v>4053</v>
      </c>
      <c r="E72" s="6" t="s">
        <v>184</v>
      </c>
      <c r="F72" s="224" t="s">
        <v>332</v>
      </c>
      <c r="G72" s="224" t="s">
        <v>3882</v>
      </c>
      <c r="H72" s="28" t="s">
        <v>4050</v>
      </c>
      <c r="I72" s="19" t="s">
        <v>3917</v>
      </c>
      <c r="J72" s="28" t="s">
        <v>620</v>
      </c>
      <c r="K72" s="224"/>
      <c r="L72" s="224"/>
      <c r="M72" s="28" t="s">
        <v>620</v>
      </c>
      <c r="N72" s="19" t="s">
        <v>4020</v>
      </c>
      <c r="O72" s="6" t="s">
        <v>620</v>
      </c>
      <c r="P72" s="224" t="s">
        <v>1151</v>
      </c>
      <c r="Q72" s="47" t="n">
        <f aca="false">Spec_Rack!F6</f>
        <v>72</v>
      </c>
      <c r="R72" s="177" t="n">
        <f aca="false">SRC_HW_047</f>
        <v>72</v>
      </c>
      <c r="S72" s="42" t="str">
        <f aca="false">IF(ISNUMBER($AF72),INDEX(IDX_SrcStat,$AF72),"—")</f>
        <v>Active</v>
      </c>
      <c r="T72" s="42" t="n">
        <f aca="false">IF(ISNUMBER($AF72),INDEX(IDX_SrcGrade,$AF72),"—")</f>
        <v>1</v>
      </c>
      <c r="U72" s="42" t="s">
        <v>3919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2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2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4054</v>
      </c>
      <c r="B73" s="224" t="s">
        <v>3880</v>
      </c>
      <c r="C73" s="28" t="s">
        <v>4044</v>
      </c>
      <c r="D73" s="28" t="s">
        <v>4055</v>
      </c>
      <c r="E73" s="6" t="s">
        <v>184</v>
      </c>
      <c r="F73" s="224" t="s">
        <v>332</v>
      </c>
      <c r="G73" s="224" t="s">
        <v>3882</v>
      </c>
      <c r="H73" s="28" t="s">
        <v>4056</v>
      </c>
      <c r="I73" s="19" t="s">
        <v>3917</v>
      </c>
      <c r="J73" s="28" t="s">
        <v>620</v>
      </c>
      <c r="K73" s="224"/>
      <c r="L73" s="224"/>
      <c r="M73" s="28" t="s">
        <v>620</v>
      </c>
      <c r="N73" s="19" t="s">
        <v>4020</v>
      </c>
      <c r="O73" s="6" t="s">
        <v>620</v>
      </c>
      <c r="P73" s="224" t="s">
        <v>1151</v>
      </c>
      <c r="Q73" s="47" t="n">
        <f aca="false">Spec_Rack!G6</f>
        <v>72</v>
      </c>
      <c r="R73" s="177" t="n">
        <f aca="false">SRC_HW_061</f>
        <v>72</v>
      </c>
      <c r="S73" s="42" t="str">
        <f aca="false">IF(ISNUMBER($AF73),INDEX(IDX_SrcStat,$AF73),"—")</f>
        <v>Active</v>
      </c>
      <c r="T73" s="42" t="n">
        <f aca="false">IF(ISNUMBER($AF73),INDEX(IDX_SrcGrade,$AF73),"—")</f>
        <v>1</v>
      </c>
      <c r="U73" s="42" t="s">
        <v>3919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2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2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4057</v>
      </c>
      <c r="B74" s="224" t="s">
        <v>3880</v>
      </c>
      <c r="C74" s="28" t="s">
        <v>4044</v>
      </c>
      <c r="D74" s="28" t="s">
        <v>4058</v>
      </c>
      <c r="E74" s="19" t="s">
        <v>189</v>
      </c>
      <c r="F74" s="28" t="s">
        <v>100</v>
      </c>
      <c r="G74" s="224" t="s">
        <v>1150</v>
      </c>
      <c r="H74" s="28" t="s">
        <v>620</v>
      </c>
      <c r="I74" s="6" t="s">
        <v>620</v>
      </c>
      <c r="J74" s="28" t="s">
        <v>620</v>
      </c>
      <c r="K74" s="224"/>
      <c r="L74" s="224"/>
      <c r="M74" s="28" t="s">
        <v>620</v>
      </c>
      <c r="N74" s="6" t="s">
        <v>4059</v>
      </c>
      <c r="O74" s="6" t="s">
        <v>620</v>
      </c>
      <c r="P74" s="224" t="s">
        <v>3885</v>
      </c>
      <c r="Q74" s="47" t="n">
        <f aca="false">Spec_Rack!C8</f>
        <v>38</v>
      </c>
      <c r="R74" s="28" t="s">
        <v>620</v>
      </c>
      <c r="S74" s="42" t="str">
        <f aca="false">IF(ISNUMBER($AF74),INDEX(IDX_SrcStat,$AF74),"—")</f>
        <v>—</v>
      </c>
      <c r="T74" s="42" t="str">
        <f aca="false">IF(ISNUMBER($AF74),INDEX(IDX_SrcGrade,$AF74),"—")</f>
        <v>—</v>
      </c>
      <c r="U74" s="42" t="s">
        <v>3886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2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2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4060</v>
      </c>
      <c r="B75" s="224" t="s">
        <v>3880</v>
      </c>
      <c r="C75" s="28" t="s">
        <v>4044</v>
      </c>
      <c r="D75" s="28" t="s">
        <v>4061</v>
      </c>
      <c r="E75" s="19" t="s">
        <v>189</v>
      </c>
      <c r="F75" s="224" t="s">
        <v>332</v>
      </c>
      <c r="G75" s="224" t="s">
        <v>3882</v>
      </c>
      <c r="H75" s="28" t="s">
        <v>4062</v>
      </c>
      <c r="I75" s="19" t="s">
        <v>3917</v>
      </c>
      <c r="J75" s="28" t="s">
        <v>620</v>
      </c>
      <c r="K75" s="224"/>
      <c r="L75" s="224"/>
      <c r="M75" s="28" t="s">
        <v>620</v>
      </c>
      <c r="N75" s="19" t="s">
        <v>4020</v>
      </c>
      <c r="O75" s="6" t="s">
        <v>620</v>
      </c>
      <c r="P75" s="224" t="s">
        <v>3885</v>
      </c>
      <c r="Q75" s="47" t="n">
        <f aca="false">Spec_Rack!D8</f>
        <v>120</v>
      </c>
      <c r="R75" s="177" t="n">
        <f aca="false">SRC_HW_004_Lo</f>
        <v>120</v>
      </c>
      <c r="S75" s="42" t="str">
        <f aca="false">IF(ISNUMBER($AF75),INDEX(IDX_SrcStat,$AF75),"—")</f>
        <v>Active</v>
      </c>
      <c r="T75" s="42" t="n">
        <f aca="false">IF(ISNUMBER($AF75),INDEX(IDX_SrcGrade,$AF75),"—")</f>
        <v>1</v>
      </c>
      <c r="U75" s="42" t="s">
        <v>3919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2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2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4063</v>
      </c>
      <c r="B76" s="224" t="s">
        <v>3880</v>
      </c>
      <c r="C76" s="28" t="s">
        <v>4044</v>
      </c>
      <c r="D76" s="28" t="s">
        <v>3739</v>
      </c>
      <c r="E76" s="19" t="s">
        <v>189</v>
      </c>
      <c r="F76" s="224" t="s">
        <v>332</v>
      </c>
      <c r="G76" s="224" t="s">
        <v>3882</v>
      </c>
      <c r="H76" s="28" t="s">
        <v>4064</v>
      </c>
      <c r="I76" s="19" t="s">
        <v>3917</v>
      </c>
      <c r="J76" s="28" t="s">
        <v>620</v>
      </c>
      <c r="K76" s="224"/>
      <c r="L76" s="224"/>
      <c r="M76" s="28" t="s">
        <v>620</v>
      </c>
      <c r="N76" s="19" t="s">
        <v>4020</v>
      </c>
      <c r="O76" s="6" t="s">
        <v>620</v>
      </c>
      <c r="P76" s="224" t="s">
        <v>3885</v>
      </c>
      <c r="Q76" s="47" t="n">
        <f aca="false">Spec_Rack!E8</f>
        <v>132</v>
      </c>
      <c r="R76" s="177" t="n">
        <f aca="false">SRC_HW_005_Lo</f>
        <v>132</v>
      </c>
      <c r="S76" s="42" t="str">
        <f aca="false">IF(ISNUMBER($AF76),INDEX(IDX_SrcStat,$AF76),"—")</f>
        <v>Active</v>
      </c>
      <c r="T76" s="42" t="n">
        <f aca="false">IF(ISNUMBER($AF76),INDEX(IDX_SrcGrade,$AF76),"—")</f>
        <v>2</v>
      </c>
      <c r="U76" s="42" t="s">
        <v>3919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2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2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4065</v>
      </c>
      <c r="B77" s="224" t="s">
        <v>3880</v>
      </c>
      <c r="C77" s="28" t="s">
        <v>4044</v>
      </c>
      <c r="D77" s="28" t="s">
        <v>4066</v>
      </c>
      <c r="E77" s="19" t="s">
        <v>189</v>
      </c>
      <c r="F77" s="224" t="s">
        <v>332</v>
      </c>
      <c r="G77" s="224" t="s">
        <v>3882</v>
      </c>
      <c r="H77" s="28" t="s">
        <v>4067</v>
      </c>
      <c r="I77" s="19" t="s">
        <v>3917</v>
      </c>
      <c r="J77" s="28" t="s">
        <v>620</v>
      </c>
      <c r="K77" s="224"/>
      <c r="L77" s="224"/>
      <c r="M77" s="28" t="s">
        <v>620</v>
      </c>
      <c r="N77" s="19" t="s">
        <v>4020</v>
      </c>
      <c r="O77" s="6" t="s">
        <v>620</v>
      </c>
      <c r="P77" s="224" t="s">
        <v>3885</v>
      </c>
      <c r="Q77" s="47" t="n">
        <f aca="false">Spec_Rack!F8</f>
        <v>188</v>
      </c>
      <c r="R77" s="177" t="n">
        <f aca="false">SRC_HW_011</f>
        <v>188</v>
      </c>
      <c r="S77" s="42" t="str">
        <f aca="false">IF(ISNUMBER($AF77),INDEX(IDX_SrcStat,$AF77),"—")</f>
        <v>Active</v>
      </c>
      <c r="T77" s="42" t="n">
        <f aca="false">IF(ISNUMBER($AF77),INDEX(IDX_SrcGrade,$AF77),"—")</f>
        <v>1</v>
      </c>
      <c r="U77" s="42" t="s">
        <v>3919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2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2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4068</v>
      </c>
      <c r="B78" s="224" t="s">
        <v>3880</v>
      </c>
      <c r="C78" s="28" t="s">
        <v>4044</v>
      </c>
      <c r="D78" s="28" t="s">
        <v>4069</v>
      </c>
      <c r="E78" s="19" t="s">
        <v>189</v>
      </c>
      <c r="F78" s="28" t="s">
        <v>147</v>
      </c>
      <c r="G78" s="224" t="s">
        <v>1150</v>
      </c>
      <c r="H78" s="28" t="s">
        <v>620</v>
      </c>
      <c r="I78" s="6" t="s">
        <v>620</v>
      </c>
      <c r="J78" s="28" t="s">
        <v>620</v>
      </c>
      <c r="K78" s="224"/>
      <c r="L78" s="224"/>
      <c r="M78" s="28" t="s">
        <v>620</v>
      </c>
      <c r="N78" s="6" t="s">
        <v>4070</v>
      </c>
      <c r="O78" s="6" t="s">
        <v>620</v>
      </c>
      <c r="P78" s="224" t="s">
        <v>3885</v>
      </c>
      <c r="Q78" s="47" t="n">
        <f aca="false">Spec_Rack!G8</f>
        <v>300</v>
      </c>
      <c r="R78" s="28" t="s">
        <v>620</v>
      </c>
      <c r="S78" s="42" t="str">
        <f aca="false">IF(ISNUMBER($AF78),INDEX(IDX_SrcStat,$AF78),"—")</f>
        <v>—</v>
      </c>
      <c r="T78" s="42" t="str">
        <f aca="false">IF(ISNUMBER($AF78),INDEX(IDX_SrcGrade,$AF78),"—")</f>
        <v>—</v>
      </c>
      <c r="U78" s="42" t="s">
        <v>3886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2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2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4071</v>
      </c>
      <c r="B79" s="224" t="s">
        <v>3880</v>
      </c>
      <c r="C79" s="28" t="s">
        <v>4044</v>
      </c>
      <c r="D79" s="28" t="s">
        <v>4072</v>
      </c>
      <c r="E79" s="19" t="s">
        <v>190</v>
      </c>
      <c r="F79" s="224" t="s">
        <v>4073</v>
      </c>
      <c r="G79" s="224" t="s">
        <v>85</v>
      </c>
      <c r="H79" s="28" t="s">
        <v>4074</v>
      </c>
      <c r="I79" s="19" t="s">
        <v>4075</v>
      </c>
      <c r="J79" s="28" t="s">
        <v>620</v>
      </c>
      <c r="K79" s="47" t="n">
        <f aca="false">Spec_Rack!C8</f>
        <v>38</v>
      </c>
      <c r="L79" s="47" t="n">
        <f aca="false">Spec_Rack!C10</f>
        <v>44</v>
      </c>
      <c r="M79" s="28" t="s">
        <v>620</v>
      </c>
      <c r="N79" s="19" t="s">
        <v>4076</v>
      </c>
      <c r="O79" s="6" t="s">
        <v>620</v>
      </c>
      <c r="P79" s="224" t="s">
        <v>1151</v>
      </c>
      <c r="Q79" s="47" t="n">
        <f aca="false">Spec_Rack!C9</f>
        <v>41</v>
      </c>
      <c r="R79" s="177" t="n">
        <f aca="false">SRC_HW_001</f>
        <v>10.2</v>
      </c>
      <c r="S79" s="42" t="str">
        <f aca="false">IF(ISNUMBER($AF79),INDEX(IDX_SrcStat,$AF79),"—")</f>
        <v>Active</v>
      </c>
      <c r="T79" s="42" t="n">
        <f aca="false">IF(ISNUMBER($AF79),INDEX(IDX_SrcGrade,$AF79),"—")</f>
        <v>1</v>
      </c>
      <c r="U79" s="42" t="s">
        <v>3886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2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2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4077</v>
      </c>
      <c r="B80" s="224" t="s">
        <v>3880</v>
      </c>
      <c r="C80" s="28" t="s">
        <v>4044</v>
      </c>
      <c r="D80" s="28" t="s">
        <v>3895</v>
      </c>
      <c r="E80" s="19" t="s">
        <v>190</v>
      </c>
      <c r="F80" s="224" t="s">
        <v>332</v>
      </c>
      <c r="G80" s="224" t="s">
        <v>85</v>
      </c>
      <c r="H80" s="28" t="s">
        <v>4062</v>
      </c>
      <c r="I80" s="19" t="s">
        <v>4078</v>
      </c>
      <c r="J80" s="28" t="s">
        <v>620</v>
      </c>
      <c r="K80" s="47" t="n">
        <f aca="false">Spec_Rack!D8</f>
        <v>120</v>
      </c>
      <c r="L80" s="47" t="n">
        <f aca="false">Spec_Rack!D10</f>
        <v>140</v>
      </c>
      <c r="M80" s="28" t="s">
        <v>620</v>
      </c>
      <c r="N80" s="19" t="s">
        <v>4079</v>
      </c>
      <c r="O80" s="6" t="s">
        <v>620</v>
      </c>
      <c r="P80" s="224" t="s">
        <v>1151</v>
      </c>
      <c r="Q80" s="47" t="n">
        <f aca="false">Spec_Rack!D9</f>
        <v>132</v>
      </c>
      <c r="R80" s="177" t="n">
        <f aca="false">SRC_HW_004_Hi</f>
        <v>132</v>
      </c>
      <c r="S80" s="42" t="str">
        <f aca="false">IF(ISNUMBER($AF80),INDEX(IDX_SrcStat,$AF80),"—")</f>
        <v>Active</v>
      </c>
      <c r="T80" s="42" t="n">
        <f aca="false">IF(ISNUMBER($AF80),INDEX(IDX_SrcGrade,$AF80),"—")</f>
        <v>1</v>
      </c>
      <c r="U80" s="42" t="s">
        <v>3919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2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2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4080</v>
      </c>
      <c r="B81" s="224" t="s">
        <v>3880</v>
      </c>
      <c r="C81" s="28" t="s">
        <v>4044</v>
      </c>
      <c r="D81" s="28" t="s">
        <v>3742</v>
      </c>
      <c r="E81" s="19" t="s">
        <v>190</v>
      </c>
      <c r="F81" s="224" t="s">
        <v>147</v>
      </c>
      <c r="G81" s="224" t="s">
        <v>85</v>
      </c>
      <c r="H81" s="28" t="s">
        <v>4064</v>
      </c>
      <c r="I81" s="19" t="s">
        <v>4081</v>
      </c>
      <c r="J81" s="28" t="s">
        <v>620</v>
      </c>
      <c r="K81" s="47" t="n">
        <f aca="false">Spec_Rack!E8</f>
        <v>132</v>
      </c>
      <c r="L81" s="47" t="n">
        <f aca="false">Spec_Rack!E10</f>
        <v>140</v>
      </c>
      <c r="M81" s="28" t="s">
        <v>620</v>
      </c>
      <c r="N81" s="19" t="s">
        <v>4082</v>
      </c>
      <c r="O81" s="19" t="s">
        <v>4083</v>
      </c>
      <c r="P81" s="224" t="s">
        <v>1151</v>
      </c>
      <c r="Q81" s="47" t="n">
        <f aca="false">Spec_Rack!E9</f>
        <v>136</v>
      </c>
      <c r="R81" s="177" t="n">
        <f aca="false">SRC_HW_005_Lo</f>
        <v>132</v>
      </c>
      <c r="S81" s="42" t="str">
        <f aca="false">IF(ISNUMBER($AF81),INDEX(IDX_SrcStat,$AF81),"—")</f>
        <v>Active</v>
      </c>
      <c r="T81" s="42" t="n">
        <f aca="false">IF(ISNUMBER($AF81),INDEX(IDX_SrcGrade,$AF81),"—")</f>
        <v>2</v>
      </c>
      <c r="U81" s="42" t="s">
        <v>3886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2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2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4084</v>
      </c>
      <c r="B82" s="224" t="s">
        <v>3880</v>
      </c>
      <c r="C82" s="28" t="s">
        <v>4044</v>
      </c>
      <c r="D82" s="28" t="s">
        <v>3897</v>
      </c>
      <c r="E82" s="19" t="s">
        <v>190</v>
      </c>
      <c r="F82" s="224" t="s">
        <v>332</v>
      </c>
      <c r="G82" s="224" t="s">
        <v>3882</v>
      </c>
      <c r="H82" s="28" t="s">
        <v>4085</v>
      </c>
      <c r="I82" s="19" t="s">
        <v>3917</v>
      </c>
      <c r="J82" s="28" t="s">
        <v>620</v>
      </c>
      <c r="K82" s="224"/>
      <c r="L82" s="224"/>
      <c r="M82" s="28" t="s">
        <v>620</v>
      </c>
      <c r="N82" s="19" t="s">
        <v>4020</v>
      </c>
      <c r="O82" s="6" t="s">
        <v>620</v>
      </c>
      <c r="P82" s="224" t="s">
        <v>1151</v>
      </c>
      <c r="Q82" s="47" t="n">
        <f aca="false">Spec_Rack!F9</f>
        <v>227</v>
      </c>
      <c r="R82" s="177" t="n">
        <f aca="false">SRC_HW_014</f>
        <v>227</v>
      </c>
      <c r="S82" s="42" t="str">
        <f aca="false">IF(ISNUMBER($AF82),INDEX(IDX_SrcStat,$AF82),"—")</f>
        <v>Active</v>
      </c>
      <c r="T82" s="42" t="n">
        <f aca="false">IF(ISNUMBER($AF82),INDEX(IDX_SrcGrade,$AF82),"—")</f>
        <v>1</v>
      </c>
      <c r="U82" s="42" t="s">
        <v>3919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2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2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4086</v>
      </c>
      <c r="B83" s="224" t="s">
        <v>3880</v>
      </c>
      <c r="C83" s="28" t="s">
        <v>4044</v>
      </c>
      <c r="D83" s="28" t="s">
        <v>4087</v>
      </c>
      <c r="E83" s="19" t="s">
        <v>190</v>
      </c>
      <c r="F83" s="224" t="s">
        <v>147</v>
      </c>
      <c r="G83" s="224" t="s">
        <v>85</v>
      </c>
      <c r="H83" s="28" t="s">
        <v>620</v>
      </c>
      <c r="I83" s="19" t="s">
        <v>4088</v>
      </c>
      <c r="J83" s="28" t="s">
        <v>620</v>
      </c>
      <c r="K83" s="227" t="n">
        <f aca="false">Spec_Rack!G8</f>
        <v>300</v>
      </c>
      <c r="L83" s="227" t="n">
        <f aca="false">Spec_Rack!G10</f>
        <v>454</v>
      </c>
      <c r="M83" s="28" t="s">
        <v>620</v>
      </c>
      <c r="N83" s="19" t="s">
        <v>4089</v>
      </c>
      <c r="O83" s="19" t="s">
        <v>4090</v>
      </c>
      <c r="P83" s="224" t="s">
        <v>1151</v>
      </c>
      <c r="Q83" s="47" t="n">
        <f aca="false">Spec_Rack!G9</f>
        <v>340</v>
      </c>
      <c r="R83" s="28" t="s">
        <v>620</v>
      </c>
      <c r="S83" s="42" t="str">
        <f aca="false">IF(ISNUMBER($AF83),INDEX(IDX_SrcStat,$AF83),"—")</f>
        <v>—</v>
      </c>
      <c r="T83" s="42" t="str">
        <f aca="false">IF(ISNUMBER($AF83),INDEX(IDX_SrcGrade,$AF83),"—")</f>
        <v>—</v>
      </c>
      <c r="U83" s="42" t="s">
        <v>3886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2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2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4091</v>
      </c>
      <c r="B84" s="224" t="s">
        <v>3880</v>
      </c>
      <c r="C84" s="28" t="s">
        <v>4044</v>
      </c>
      <c r="D84" s="28" t="s">
        <v>4092</v>
      </c>
      <c r="E84" s="19" t="s">
        <v>191</v>
      </c>
      <c r="F84" s="28" t="s">
        <v>100</v>
      </c>
      <c r="G84" s="224" t="s">
        <v>1151</v>
      </c>
      <c r="H84" s="28" t="s">
        <v>620</v>
      </c>
      <c r="I84" s="6" t="s">
        <v>620</v>
      </c>
      <c r="J84" s="28" t="s">
        <v>620</v>
      </c>
      <c r="K84" s="224"/>
      <c r="L84" s="224"/>
      <c r="M84" s="28" t="s">
        <v>620</v>
      </c>
      <c r="N84" s="6" t="s">
        <v>4093</v>
      </c>
      <c r="O84" s="6" t="s">
        <v>620</v>
      </c>
      <c r="P84" s="224" t="s">
        <v>3885</v>
      </c>
      <c r="Q84" s="47" t="n">
        <f aca="false">Spec_Rack!C10</f>
        <v>44</v>
      </c>
      <c r="R84" s="28" t="s">
        <v>620</v>
      </c>
      <c r="S84" s="42" t="str">
        <f aca="false">IF(ISNUMBER($AF84),INDEX(IDX_SrcStat,$AF84),"—")</f>
        <v>—</v>
      </c>
      <c r="T84" s="42" t="str">
        <f aca="false">IF(ISNUMBER($AF84),INDEX(IDX_SrcGrade,$AF84),"—")</f>
        <v>—</v>
      </c>
      <c r="U84" s="42" t="s">
        <v>3886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2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2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4094</v>
      </c>
      <c r="B85" s="224" t="s">
        <v>3880</v>
      </c>
      <c r="C85" s="28" t="s">
        <v>4044</v>
      </c>
      <c r="D85" s="28" t="s">
        <v>3900</v>
      </c>
      <c r="E85" s="19" t="s">
        <v>191</v>
      </c>
      <c r="F85" s="28" t="s">
        <v>100</v>
      </c>
      <c r="G85" s="224" t="s">
        <v>1151</v>
      </c>
      <c r="H85" s="28" t="s">
        <v>620</v>
      </c>
      <c r="I85" s="6" t="s">
        <v>620</v>
      </c>
      <c r="J85" s="28" t="s">
        <v>620</v>
      </c>
      <c r="K85" s="224"/>
      <c r="L85" s="224"/>
      <c r="M85" s="28" t="s">
        <v>620</v>
      </c>
      <c r="N85" s="6" t="s">
        <v>4095</v>
      </c>
      <c r="O85" s="6" t="s">
        <v>620</v>
      </c>
      <c r="P85" s="224" t="s">
        <v>3885</v>
      </c>
      <c r="Q85" s="47" t="n">
        <f aca="false">Spec_Rack!D10</f>
        <v>140</v>
      </c>
      <c r="R85" s="28" t="s">
        <v>620</v>
      </c>
      <c r="S85" s="42" t="str">
        <f aca="false">IF(ISNUMBER($AF85),INDEX(IDX_SrcStat,$AF85),"—")</f>
        <v>—</v>
      </c>
      <c r="T85" s="42" t="str">
        <f aca="false">IF(ISNUMBER($AF85),INDEX(IDX_SrcGrade,$AF85),"—")</f>
        <v>—</v>
      </c>
      <c r="U85" s="42" t="s">
        <v>3886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2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2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4096</v>
      </c>
      <c r="B86" s="224" t="s">
        <v>3880</v>
      </c>
      <c r="C86" s="28" t="s">
        <v>4044</v>
      </c>
      <c r="D86" s="28" t="s">
        <v>3745</v>
      </c>
      <c r="E86" s="19" t="s">
        <v>191</v>
      </c>
      <c r="F86" s="224" t="s">
        <v>332</v>
      </c>
      <c r="G86" s="224" t="s">
        <v>3882</v>
      </c>
      <c r="H86" s="28" t="s">
        <v>4064</v>
      </c>
      <c r="I86" s="19" t="s">
        <v>3917</v>
      </c>
      <c r="J86" s="28" t="s">
        <v>620</v>
      </c>
      <c r="K86" s="224"/>
      <c r="L86" s="224"/>
      <c r="M86" s="28" t="s">
        <v>620</v>
      </c>
      <c r="N86" s="19" t="s">
        <v>4020</v>
      </c>
      <c r="O86" s="6" t="s">
        <v>620</v>
      </c>
      <c r="P86" s="224" t="s">
        <v>3885</v>
      </c>
      <c r="Q86" s="47" t="n">
        <f aca="false">Spec_Rack!E10</f>
        <v>140</v>
      </c>
      <c r="R86" s="177" t="n">
        <f aca="false">SRC_HW_005_Hi</f>
        <v>140</v>
      </c>
      <c r="S86" s="42" t="str">
        <f aca="false">IF(ISNUMBER($AF86),INDEX(IDX_SrcStat,$AF86),"—")</f>
        <v>Active</v>
      </c>
      <c r="T86" s="42" t="n">
        <f aca="false">IF(ISNUMBER($AF86),INDEX(IDX_SrcGrade,$AF86),"—")</f>
        <v>2</v>
      </c>
      <c r="U86" s="42" t="s">
        <v>3919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2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2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4097</v>
      </c>
      <c r="B87" s="224" t="s">
        <v>3880</v>
      </c>
      <c r="C87" s="28" t="s">
        <v>4044</v>
      </c>
      <c r="D87" s="28" t="s">
        <v>3902</v>
      </c>
      <c r="E87" s="19" t="s">
        <v>191</v>
      </c>
      <c r="F87" s="224" t="s">
        <v>332</v>
      </c>
      <c r="G87" s="224" t="s">
        <v>3882</v>
      </c>
      <c r="H87" s="28" t="s">
        <v>4098</v>
      </c>
      <c r="I87" s="19" t="s">
        <v>3917</v>
      </c>
      <c r="J87" s="28" t="s">
        <v>620</v>
      </c>
      <c r="K87" s="224"/>
      <c r="L87" s="224"/>
      <c r="M87" s="28" t="s">
        <v>620</v>
      </c>
      <c r="N87" s="19" t="s">
        <v>4020</v>
      </c>
      <c r="O87" s="6" t="s">
        <v>620</v>
      </c>
      <c r="P87" s="224" t="s">
        <v>3885</v>
      </c>
      <c r="Q87" s="47" t="n">
        <f aca="false">Spec_Rack!F10</f>
        <v>230</v>
      </c>
      <c r="R87" s="177" t="n">
        <f aca="false">SRC_HW_012</f>
        <v>230</v>
      </c>
      <c r="S87" s="42" t="str">
        <f aca="false">IF(ISNUMBER($AF87),INDEX(IDX_SrcStat,$AF87),"—")</f>
        <v>Active</v>
      </c>
      <c r="T87" s="42" t="n">
        <f aca="false">IF(ISNUMBER($AF87),INDEX(IDX_SrcGrade,$AF87),"—")</f>
        <v>3</v>
      </c>
      <c r="U87" s="42" t="s">
        <v>3919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2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2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4099</v>
      </c>
      <c r="B88" s="224" t="s">
        <v>3880</v>
      </c>
      <c r="C88" s="28" t="s">
        <v>4044</v>
      </c>
      <c r="D88" s="28" t="s">
        <v>4100</v>
      </c>
      <c r="E88" s="19" t="s">
        <v>191</v>
      </c>
      <c r="F88" s="28" t="s">
        <v>147</v>
      </c>
      <c r="G88" s="224" t="s">
        <v>1151</v>
      </c>
      <c r="H88" s="28" t="s">
        <v>620</v>
      </c>
      <c r="I88" s="6" t="s">
        <v>620</v>
      </c>
      <c r="J88" s="28" t="s">
        <v>620</v>
      </c>
      <c r="K88" s="224"/>
      <c r="L88" s="224"/>
      <c r="M88" s="28" t="s">
        <v>620</v>
      </c>
      <c r="N88" s="6" t="s">
        <v>4101</v>
      </c>
      <c r="O88" s="6" t="s">
        <v>620</v>
      </c>
      <c r="P88" s="224" t="s">
        <v>3885</v>
      </c>
      <c r="Q88" s="47" t="n">
        <f aca="false">Spec_Rack!G10</f>
        <v>454</v>
      </c>
      <c r="R88" s="28" t="s">
        <v>620</v>
      </c>
      <c r="S88" s="42" t="str">
        <f aca="false">IF(ISNUMBER($AF88),INDEX(IDX_SrcStat,$AF88),"—")</f>
        <v>—</v>
      </c>
      <c r="T88" s="42" t="str">
        <f aca="false">IF(ISNUMBER($AF88),INDEX(IDX_SrcGrade,$AF88),"—")</f>
        <v>—</v>
      </c>
      <c r="U88" s="42" t="s">
        <v>3886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2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2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4102</v>
      </c>
      <c r="B89" s="224" t="s">
        <v>3880</v>
      </c>
      <c r="C89" s="28" t="s">
        <v>4044</v>
      </c>
      <c r="D89" s="28" t="s">
        <v>4103</v>
      </c>
      <c r="E89" s="19" t="s">
        <v>192</v>
      </c>
      <c r="F89" s="224" t="s">
        <v>4073</v>
      </c>
      <c r="G89" s="224" t="s">
        <v>1150</v>
      </c>
      <c r="H89" s="28" t="s">
        <v>4104</v>
      </c>
      <c r="I89" s="19" t="s">
        <v>4105</v>
      </c>
      <c r="J89" s="28" t="s">
        <v>620</v>
      </c>
      <c r="K89" s="224"/>
      <c r="L89" s="224"/>
      <c r="M89" s="28" t="s">
        <v>620</v>
      </c>
      <c r="N89" s="19" t="s">
        <v>4106</v>
      </c>
      <c r="O89" s="6" t="s">
        <v>620</v>
      </c>
      <c r="P89" s="224" t="s">
        <v>3885</v>
      </c>
      <c r="Q89" s="188" t="n">
        <f aca="false">Spec_Rack!C11</f>
        <v>0.9</v>
      </c>
      <c r="R89" s="177" t="n">
        <f aca="false">SRC_HW_003_Lo</f>
        <v>220000</v>
      </c>
      <c r="S89" s="42" t="str">
        <f aca="false">IF(ISNUMBER($AF89),INDEX(IDX_SrcStat,$AF89),"—")</f>
        <v>Active</v>
      </c>
      <c r="T89" s="42" t="n">
        <f aca="false">IF(ISNUMBER($AF89),INDEX(IDX_SrcGrade,$AF89),"—")</f>
        <v>2</v>
      </c>
      <c r="U89" s="42" t="s">
        <v>3886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2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2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4107</v>
      </c>
      <c r="B90" s="224" t="s">
        <v>3880</v>
      </c>
      <c r="C90" s="28" t="s">
        <v>4044</v>
      </c>
      <c r="D90" s="28" t="s">
        <v>3907</v>
      </c>
      <c r="E90" s="19" t="s">
        <v>192</v>
      </c>
      <c r="F90" s="224" t="s">
        <v>332</v>
      </c>
      <c r="G90" s="224" t="s">
        <v>3882</v>
      </c>
      <c r="H90" s="28" t="s">
        <v>4108</v>
      </c>
      <c r="I90" s="19" t="s">
        <v>3917</v>
      </c>
      <c r="J90" s="28" t="s">
        <v>620</v>
      </c>
      <c r="K90" s="224"/>
      <c r="L90" s="224"/>
      <c r="M90" s="28" t="s">
        <v>620</v>
      </c>
      <c r="N90" s="19" t="s">
        <v>4109</v>
      </c>
      <c r="O90" s="6" t="s">
        <v>620</v>
      </c>
      <c r="P90" s="224" t="s">
        <v>3885</v>
      </c>
      <c r="Q90" s="188" t="n">
        <f aca="false">Spec_Rack!D11</f>
        <v>2.8</v>
      </c>
      <c r="R90" s="177" t="n">
        <f aca="false">SRC_HW_006_Lo</f>
        <v>2.8</v>
      </c>
      <c r="S90" s="42" t="str">
        <f aca="false">IF(ISNUMBER($AF90),INDEX(IDX_SrcStat,$AF90),"—")</f>
        <v>Active</v>
      </c>
      <c r="T90" s="42" t="n">
        <f aca="false">IF(ISNUMBER($AF90),INDEX(IDX_SrcGrade,$AF90),"—")</f>
        <v>2</v>
      </c>
      <c r="U90" s="42" t="s">
        <v>3919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2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2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4110</v>
      </c>
      <c r="B91" s="224" t="s">
        <v>3880</v>
      </c>
      <c r="C91" s="28" t="s">
        <v>4044</v>
      </c>
      <c r="D91" s="28" t="s">
        <v>3748</v>
      </c>
      <c r="E91" s="19" t="s">
        <v>192</v>
      </c>
      <c r="F91" s="224" t="s">
        <v>332</v>
      </c>
      <c r="G91" s="224" t="s">
        <v>3882</v>
      </c>
      <c r="H91" s="28" t="s">
        <v>4111</v>
      </c>
      <c r="I91" s="19" t="s">
        <v>3917</v>
      </c>
      <c r="J91" s="28" t="s">
        <v>4112</v>
      </c>
      <c r="K91" s="224"/>
      <c r="L91" s="224"/>
      <c r="M91" s="28" t="s">
        <v>620</v>
      </c>
      <c r="N91" s="19" t="s">
        <v>4113</v>
      </c>
      <c r="O91" s="6" t="s">
        <v>620</v>
      </c>
      <c r="P91" s="224" t="s">
        <v>3885</v>
      </c>
      <c r="Q91" s="188" t="n">
        <f aca="false">Spec_Rack!E11</f>
        <v>4</v>
      </c>
      <c r="R91" s="177" t="n">
        <f aca="false">SRC_HW_052</f>
        <v>4</v>
      </c>
      <c r="S91" s="42" t="str">
        <f aca="false">IF(ISNUMBER($AF91),INDEX(IDX_SrcStat,$AF91),"—")</f>
        <v>Active</v>
      </c>
      <c r="T91" s="42" t="n">
        <f aca="false">IF(ISNUMBER($AF91),INDEX(IDX_SrcGrade,$AF91),"—")</f>
        <v>2</v>
      </c>
      <c r="U91" s="42" t="s">
        <v>3919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2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2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4114</v>
      </c>
      <c r="B92" s="224" t="s">
        <v>3880</v>
      </c>
      <c r="C92" s="28" t="s">
        <v>4044</v>
      </c>
      <c r="D92" s="28" t="s">
        <v>3909</v>
      </c>
      <c r="E92" s="19" t="s">
        <v>192</v>
      </c>
      <c r="F92" s="224" t="s">
        <v>147</v>
      </c>
      <c r="G92" s="224" t="s">
        <v>1150</v>
      </c>
      <c r="H92" s="28" t="s">
        <v>4115</v>
      </c>
      <c r="I92" s="19" t="s">
        <v>4116</v>
      </c>
      <c r="J92" s="28" t="s">
        <v>620</v>
      </c>
      <c r="K92" s="224"/>
      <c r="L92" s="224"/>
      <c r="M92" s="28" t="s">
        <v>620</v>
      </c>
      <c r="N92" s="19" t="s">
        <v>4117</v>
      </c>
      <c r="O92" s="19" t="s">
        <v>4118</v>
      </c>
      <c r="P92" s="224" t="s">
        <v>3885</v>
      </c>
      <c r="Q92" s="188" t="n">
        <f aca="false">Spec_Rack!F11</f>
        <v>7.8</v>
      </c>
      <c r="R92" s="177" t="n">
        <f aca="false">SRC_HW_015</f>
        <v>7.8</v>
      </c>
      <c r="S92" s="42" t="str">
        <f aca="false">IF(ISNUMBER($AF92),INDEX(IDX_SrcStat,$AF92),"—")</f>
        <v>Active</v>
      </c>
      <c r="T92" s="42" t="n">
        <f aca="false">IF(ISNUMBER($AF92),INDEX(IDX_SrcGrade,$AF92),"—")</f>
        <v>2</v>
      </c>
      <c r="U92" s="42" t="s">
        <v>3886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2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2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4119</v>
      </c>
      <c r="B93" s="224" t="s">
        <v>3880</v>
      </c>
      <c r="C93" s="28" t="s">
        <v>4044</v>
      </c>
      <c r="D93" s="28" t="s">
        <v>4120</v>
      </c>
      <c r="E93" s="19" t="s">
        <v>192</v>
      </c>
      <c r="F93" s="28" t="s">
        <v>100</v>
      </c>
      <c r="G93" s="224" t="s">
        <v>1150</v>
      </c>
      <c r="H93" s="28" t="s">
        <v>620</v>
      </c>
      <c r="I93" s="6" t="s">
        <v>620</v>
      </c>
      <c r="J93" s="28" t="s">
        <v>620</v>
      </c>
      <c r="K93" s="224"/>
      <c r="L93" s="224"/>
      <c r="M93" s="28" t="s">
        <v>620</v>
      </c>
      <c r="N93" s="6" t="s">
        <v>4121</v>
      </c>
      <c r="O93" s="6" t="s">
        <v>4122</v>
      </c>
      <c r="P93" s="224" t="s">
        <v>3885</v>
      </c>
      <c r="Q93" s="188" t="n">
        <f aca="false">Spec_Rack!G11</f>
        <v>12.6</v>
      </c>
      <c r="R93" s="28" t="s">
        <v>620</v>
      </c>
      <c r="S93" s="42" t="str">
        <f aca="false">IF(ISNUMBER($AF93),INDEX(IDX_SrcStat,$AF93),"—")</f>
        <v>—</v>
      </c>
      <c r="T93" s="42" t="str">
        <f aca="false">IF(ISNUMBER($AF93),INDEX(IDX_SrcGrade,$AF93),"—")</f>
        <v>—</v>
      </c>
      <c r="U93" s="42" t="s">
        <v>3978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2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2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4123</v>
      </c>
      <c r="B94" s="224" t="s">
        <v>3880</v>
      </c>
      <c r="C94" s="28" t="s">
        <v>4044</v>
      </c>
      <c r="D94" s="28" t="s">
        <v>4124</v>
      </c>
      <c r="E94" s="19" t="s">
        <v>193</v>
      </c>
      <c r="F94" s="224" t="s">
        <v>4073</v>
      </c>
      <c r="G94" s="224" t="s">
        <v>85</v>
      </c>
      <c r="H94" s="28" t="s">
        <v>4104</v>
      </c>
      <c r="I94" s="19" t="s">
        <v>4125</v>
      </c>
      <c r="J94" s="28" t="s">
        <v>620</v>
      </c>
      <c r="K94" s="188" t="n">
        <f aca="false">Spec_Rack!C11</f>
        <v>0.9</v>
      </c>
      <c r="L94" s="188" t="n">
        <f aca="false">Spec_Rack!C13</f>
        <v>1.3</v>
      </c>
      <c r="M94" s="28" t="s">
        <v>620</v>
      </c>
      <c r="N94" s="19" t="s">
        <v>4126</v>
      </c>
      <c r="O94" s="6" t="s">
        <v>620</v>
      </c>
      <c r="P94" s="224" t="s">
        <v>1151</v>
      </c>
      <c r="Q94" s="188" t="n">
        <f aca="false">Spec_Rack!C12</f>
        <v>1.1</v>
      </c>
      <c r="R94" s="177" t="n">
        <f aca="false">SRC_HW_003_Lo</f>
        <v>220000</v>
      </c>
      <c r="S94" s="42" t="str">
        <f aca="false">IF(ISNUMBER($AF94),INDEX(IDX_SrcStat,$AF94),"—")</f>
        <v>Active</v>
      </c>
      <c r="T94" s="42" t="n">
        <f aca="false">IF(ISNUMBER($AF94),INDEX(IDX_SrcGrade,$AF94),"—")</f>
        <v>2</v>
      </c>
      <c r="U94" s="42" t="s">
        <v>3886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2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2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4127</v>
      </c>
      <c r="B95" s="224" t="s">
        <v>3880</v>
      </c>
      <c r="C95" s="28" t="s">
        <v>4044</v>
      </c>
      <c r="D95" s="28" t="s">
        <v>4128</v>
      </c>
      <c r="E95" s="19" t="s">
        <v>193</v>
      </c>
      <c r="F95" s="224" t="s">
        <v>4073</v>
      </c>
      <c r="G95" s="224" t="s">
        <v>85</v>
      </c>
      <c r="H95" s="28" t="s">
        <v>4108</v>
      </c>
      <c r="I95" s="19" t="s">
        <v>4129</v>
      </c>
      <c r="J95" s="28" t="s">
        <v>620</v>
      </c>
      <c r="K95" s="188" t="n">
        <f aca="false">Spec_Rack!D11</f>
        <v>2.8</v>
      </c>
      <c r="L95" s="188" t="n">
        <f aca="false">Spec_Rack!D13</f>
        <v>3.4</v>
      </c>
      <c r="M95" s="28" t="s">
        <v>620</v>
      </c>
      <c r="N95" s="19" t="s">
        <v>4130</v>
      </c>
      <c r="O95" s="6" t="s">
        <v>620</v>
      </c>
      <c r="P95" s="224" t="s">
        <v>1151</v>
      </c>
      <c r="Q95" s="188" t="n">
        <f aca="false">Spec_Rack!D12</f>
        <v>3.1</v>
      </c>
      <c r="R95" s="177" t="n">
        <f aca="false">SRC_HW_006_Lo</f>
        <v>2.8</v>
      </c>
      <c r="S95" s="42" t="str">
        <f aca="false">IF(ISNUMBER($AF95),INDEX(IDX_SrcStat,$AF95),"—")</f>
        <v>Active</v>
      </c>
      <c r="T95" s="42" t="n">
        <f aca="false">IF(ISNUMBER($AF95),INDEX(IDX_SrcGrade,$AF95),"—")</f>
        <v>2</v>
      </c>
      <c r="U95" s="42" t="s">
        <v>3886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2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2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4131</v>
      </c>
      <c r="B96" s="224" t="s">
        <v>3880</v>
      </c>
      <c r="C96" s="28" t="s">
        <v>4044</v>
      </c>
      <c r="D96" s="28" t="s">
        <v>3751</v>
      </c>
      <c r="E96" s="19" t="s">
        <v>193</v>
      </c>
      <c r="F96" s="224" t="s">
        <v>147</v>
      </c>
      <c r="G96" s="224" t="s">
        <v>85</v>
      </c>
      <c r="H96" s="28" t="s">
        <v>4111</v>
      </c>
      <c r="I96" s="19" t="s">
        <v>4132</v>
      </c>
      <c r="J96" s="28" t="s">
        <v>4112</v>
      </c>
      <c r="K96" s="188" t="n">
        <f aca="false">Spec_Rack!E11</f>
        <v>4</v>
      </c>
      <c r="L96" s="188" t="n">
        <f aca="false">Spec_Rack!E13</f>
        <v>5</v>
      </c>
      <c r="M96" s="28" t="s">
        <v>620</v>
      </c>
      <c r="N96" s="19" t="s">
        <v>4133</v>
      </c>
      <c r="O96" s="228" t="s">
        <v>4134</v>
      </c>
      <c r="P96" s="224" t="s">
        <v>1151</v>
      </c>
      <c r="Q96" s="188" t="n">
        <f aca="false">Spec_Rack!E12</f>
        <v>4.3</v>
      </c>
      <c r="R96" s="177" t="n">
        <f aca="false">SRC_HW_052</f>
        <v>4</v>
      </c>
      <c r="S96" s="42" t="str">
        <f aca="false">IF(ISNUMBER($AF96),INDEX(IDX_SrcStat,$AF96),"—")</f>
        <v>Active</v>
      </c>
      <c r="T96" s="42" t="n">
        <f aca="false">IF(ISNUMBER($AF96),INDEX(IDX_SrcGrade,$AF96),"—")</f>
        <v>2</v>
      </c>
      <c r="U96" s="42" t="s">
        <v>3886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2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2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4135</v>
      </c>
      <c r="B97" s="224" t="s">
        <v>3880</v>
      </c>
      <c r="C97" s="28" t="s">
        <v>4044</v>
      </c>
      <c r="D97" s="28" t="s">
        <v>4136</v>
      </c>
      <c r="E97" s="19" t="s">
        <v>193</v>
      </c>
      <c r="F97" s="224" t="s">
        <v>147</v>
      </c>
      <c r="G97" s="224" t="s">
        <v>85</v>
      </c>
      <c r="H97" s="28" t="s">
        <v>4115</v>
      </c>
      <c r="I97" s="19" t="s">
        <v>4137</v>
      </c>
      <c r="J97" s="28" t="s">
        <v>620</v>
      </c>
      <c r="K97" s="229" t="n">
        <f aca="false">Spec_Rack!F11</f>
        <v>7.8</v>
      </c>
      <c r="L97" s="229" t="n">
        <f aca="false">Spec_Rack!F13</f>
        <v>9.1</v>
      </c>
      <c r="M97" s="28" t="s">
        <v>620</v>
      </c>
      <c r="N97" s="19" t="s">
        <v>4138</v>
      </c>
      <c r="O97" s="19" t="s">
        <v>4139</v>
      </c>
      <c r="P97" s="224" t="s">
        <v>1151</v>
      </c>
      <c r="Q97" s="188" t="n">
        <f aca="false">Spec_Rack!F12</f>
        <v>8.4</v>
      </c>
      <c r="R97" s="177" t="n">
        <f aca="false">SRC_HW_015</f>
        <v>7.8</v>
      </c>
      <c r="S97" s="42" t="str">
        <f aca="false">IF(ISNUMBER($AF97),INDEX(IDX_SrcStat,$AF97),"—")</f>
        <v>Active</v>
      </c>
      <c r="T97" s="42" t="n">
        <f aca="false">IF(ISNUMBER($AF97),INDEX(IDX_SrcGrade,$AF97),"—")</f>
        <v>2</v>
      </c>
      <c r="U97" s="42" t="s">
        <v>3886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2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2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4140</v>
      </c>
      <c r="B98" s="224" t="s">
        <v>3880</v>
      </c>
      <c r="C98" s="28" t="s">
        <v>4044</v>
      </c>
      <c r="D98" s="28" t="s">
        <v>4141</v>
      </c>
      <c r="E98" s="19" t="s">
        <v>193</v>
      </c>
      <c r="F98" s="28" t="s">
        <v>100</v>
      </c>
      <c r="G98" s="224" t="s">
        <v>85</v>
      </c>
      <c r="H98" s="28" t="s">
        <v>620</v>
      </c>
      <c r="I98" s="6" t="s">
        <v>620</v>
      </c>
      <c r="J98" s="28" t="s">
        <v>620</v>
      </c>
      <c r="K98" s="188" t="n">
        <f aca="false">Spec_Rack!G11</f>
        <v>12.6</v>
      </c>
      <c r="L98" s="188" t="n">
        <f aca="false">Spec_Rack!G13</f>
        <v>21</v>
      </c>
      <c r="M98" s="28" t="s">
        <v>620</v>
      </c>
      <c r="N98" s="6" t="s">
        <v>4142</v>
      </c>
      <c r="O98" s="6" t="s">
        <v>4122</v>
      </c>
      <c r="P98" s="224" t="s">
        <v>1151</v>
      </c>
      <c r="Q98" s="188" t="n">
        <f aca="false">Spec_Rack!G12</f>
        <v>16.8</v>
      </c>
      <c r="R98" s="28" t="s">
        <v>620</v>
      </c>
      <c r="S98" s="42" t="str">
        <f aca="false">IF(ISNUMBER($AF98),INDEX(IDX_SrcStat,$AF98),"—")</f>
        <v>—</v>
      </c>
      <c r="T98" s="42" t="str">
        <f aca="false">IF(ISNUMBER($AF98),INDEX(IDX_SrcGrade,$AF98),"—")</f>
        <v>—</v>
      </c>
      <c r="U98" s="42" t="s">
        <v>3978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2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2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4143</v>
      </c>
      <c r="B99" s="224" t="s">
        <v>3880</v>
      </c>
      <c r="C99" s="28" t="s">
        <v>4044</v>
      </c>
      <c r="D99" s="28" t="s">
        <v>4144</v>
      </c>
      <c r="E99" s="19" t="s">
        <v>194</v>
      </c>
      <c r="F99" s="224" t="s">
        <v>4073</v>
      </c>
      <c r="G99" s="224" t="s">
        <v>1151</v>
      </c>
      <c r="H99" s="28" t="s">
        <v>4104</v>
      </c>
      <c r="I99" s="19" t="s">
        <v>4145</v>
      </c>
      <c r="J99" s="28" t="s">
        <v>620</v>
      </c>
      <c r="K99" s="224"/>
      <c r="L99" s="224"/>
      <c r="M99" s="28" t="s">
        <v>620</v>
      </c>
      <c r="N99" s="19" t="s">
        <v>4146</v>
      </c>
      <c r="O99" s="6" t="s">
        <v>620</v>
      </c>
      <c r="P99" s="224" t="s">
        <v>3885</v>
      </c>
      <c r="Q99" s="188" t="n">
        <f aca="false">Spec_Rack!C13</f>
        <v>1.3</v>
      </c>
      <c r="R99" s="177" t="n">
        <f aca="false">SRC_HW_003_Lo</f>
        <v>220000</v>
      </c>
      <c r="S99" s="42" t="str">
        <f aca="false">IF(ISNUMBER($AF99),INDEX(IDX_SrcStat,$AF99),"—")</f>
        <v>Active</v>
      </c>
      <c r="T99" s="42" t="n">
        <f aca="false">IF(ISNUMBER($AF99),INDEX(IDX_SrcGrade,$AF99),"—")</f>
        <v>2</v>
      </c>
      <c r="U99" s="42" t="s">
        <v>3886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2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2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4147</v>
      </c>
      <c r="B100" s="224" t="s">
        <v>3880</v>
      </c>
      <c r="C100" s="28" t="s">
        <v>4044</v>
      </c>
      <c r="D100" s="28" t="s">
        <v>3913</v>
      </c>
      <c r="E100" s="19" t="s">
        <v>194</v>
      </c>
      <c r="F100" s="224" t="s">
        <v>332</v>
      </c>
      <c r="G100" s="224" t="s">
        <v>3882</v>
      </c>
      <c r="H100" s="28" t="s">
        <v>4108</v>
      </c>
      <c r="I100" s="19" t="s">
        <v>3917</v>
      </c>
      <c r="J100" s="28" t="s">
        <v>620</v>
      </c>
      <c r="K100" s="224"/>
      <c r="L100" s="224"/>
      <c r="M100" s="28" t="s">
        <v>620</v>
      </c>
      <c r="N100" s="19" t="s">
        <v>4109</v>
      </c>
      <c r="O100" s="6" t="s">
        <v>620</v>
      </c>
      <c r="P100" s="224" t="s">
        <v>3885</v>
      </c>
      <c r="Q100" s="188" t="n">
        <f aca="false">Spec_Rack!D13</f>
        <v>3.4</v>
      </c>
      <c r="R100" s="177" t="n">
        <f aca="false">SRC_HW_006_Hi</f>
        <v>3.4</v>
      </c>
      <c r="S100" s="42" t="str">
        <f aca="false">IF(ISNUMBER($AF100),INDEX(IDX_SrcStat,$AF100),"—")</f>
        <v>Active</v>
      </c>
      <c r="T100" s="42" t="n">
        <f aca="false">IF(ISNUMBER($AF100),INDEX(IDX_SrcGrade,$AF100),"—")</f>
        <v>2</v>
      </c>
      <c r="U100" s="42" t="s">
        <v>3919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2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2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4148</v>
      </c>
      <c r="B101" s="224" t="s">
        <v>3880</v>
      </c>
      <c r="C101" s="28" t="s">
        <v>4044</v>
      </c>
      <c r="D101" s="28" t="s">
        <v>3753</v>
      </c>
      <c r="E101" s="19" t="s">
        <v>194</v>
      </c>
      <c r="F101" s="224" t="s">
        <v>332</v>
      </c>
      <c r="G101" s="224" t="s">
        <v>3882</v>
      </c>
      <c r="H101" s="28" t="s">
        <v>4149</v>
      </c>
      <c r="I101" s="19" t="s">
        <v>3917</v>
      </c>
      <c r="J101" s="28" t="s">
        <v>4112</v>
      </c>
      <c r="K101" s="224"/>
      <c r="L101" s="224"/>
      <c r="M101" s="28" t="s">
        <v>620</v>
      </c>
      <c r="N101" s="19" t="s">
        <v>4150</v>
      </c>
      <c r="O101" s="6" t="s">
        <v>620</v>
      </c>
      <c r="P101" s="224" t="s">
        <v>3885</v>
      </c>
      <c r="Q101" s="188" t="n">
        <f aca="false">Spec_Rack!E13</f>
        <v>5</v>
      </c>
      <c r="R101" s="177" t="n">
        <f aca="false">SRC_HW_010</f>
        <v>5</v>
      </c>
      <c r="S101" s="42" t="str">
        <f aca="false">IF(ISNUMBER($AF101),INDEX(IDX_SrcStat,$AF101),"—")</f>
        <v>Active</v>
      </c>
      <c r="T101" s="42" t="n">
        <f aca="false">IF(ISNUMBER($AF101),INDEX(IDX_SrcGrade,$AF101),"—")</f>
        <v>2</v>
      </c>
      <c r="U101" s="42" t="s">
        <v>3919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2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2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4151</v>
      </c>
      <c r="B102" s="224" t="s">
        <v>3880</v>
      </c>
      <c r="C102" s="28" t="s">
        <v>4044</v>
      </c>
      <c r="D102" s="28" t="s">
        <v>3915</v>
      </c>
      <c r="E102" s="19" t="s">
        <v>194</v>
      </c>
      <c r="F102" s="224" t="s">
        <v>4073</v>
      </c>
      <c r="G102" s="224" t="s">
        <v>1151</v>
      </c>
      <c r="H102" s="28" t="s">
        <v>4152</v>
      </c>
      <c r="I102" s="19" t="s">
        <v>4153</v>
      </c>
      <c r="J102" s="28" t="s">
        <v>620</v>
      </c>
      <c r="K102" s="224"/>
      <c r="L102" s="224"/>
      <c r="M102" s="28" t="s">
        <v>620</v>
      </c>
      <c r="N102" s="19" t="s">
        <v>4154</v>
      </c>
      <c r="O102" s="6" t="s">
        <v>620</v>
      </c>
      <c r="P102" s="224" t="s">
        <v>3885</v>
      </c>
      <c r="Q102" s="188" t="n">
        <f aca="false">Spec_Rack!F13</f>
        <v>9.1</v>
      </c>
      <c r="R102" s="177" t="n">
        <f aca="false">SRC_HW_017</f>
        <v>9.09</v>
      </c>
      <c r="S102" s="42" t="str">
        <f aca="false">IF(ISNUMBER($AF102),INDEX(IDX_SrcStat,$AF102),"—")</f>
        <v>Alt</v>
      </c>
      <c r="T102" s="42" t="n">
        <f aca="false">IF(ISNUMBER($AF102),INDEX(IDX_SrcGrade,$AF102),"—")</f>
        <v>2</v>
      </c>
      <c r="U102" s="42" t="s">
        <v>3886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2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2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4155</v>
      </c>
      <c r="B103" s="224" t="s">
        <v>3880</v>
      </c>
      <c r="C103" s="28" t="s">
        <v>4044</v>
      </c>
      <c r="D103" s="28" t="s">
        <v>4156</v>
      </c>
      <c r="E103" s="19" t="s">
        <v>194</v>
      </c>
      <c r="F103" s="28" t="s">
        <v>100</v>
      </c>
      <c r="G103" s="224" t="s">
        <v>1151</v>
      </c>
      <c r="H103" s="28" t="s">
        <v>620</v>
      </c>
      <c r="I103" s="6" t="s">
        <v>620</v>
      </c>
      <c r="J103" s="28" t="s">
        <v>620</v>
      </c>
      <c r="K103" s="224"/>
      <c r="L103" s="224"/>
      <c r="M103" s="28" t="s">
        <v>620</v>
      </c>
      <c r="N103" s="6" t="s">
        <v>4157</v>
      </c>
      <c r="O103" s="6" t="s">
        <v>4122</v>
      </c>
      <c r="P103" s="224" t="s">
        <v>3885</v>
      </c>
      <c r="Q103" s="188" t="n">
        <f aca="false">Spec_Rack!G13</f>
        <v>21</v>
      </c>
      <c r="R103" s="28" t="s">
        <v>620</v>
      </c>
      <c r="S103" s="42" t="str">
        <f aca="false">IF(ISNUMBER($AF103),INDEX(IDX_SrcStat,$AF103),"—")</f>
        <v>—</v>
      </c>
      <c r="T103" s="42" t="str">
        <f aca="false">IF(ISNUMBER($AF103),INDEX(IDX_SrcGrade,$AF103),"—")</f>
        <v>—</v>
      </c>
      <c r="U103" s="42" t="s">
        <v>3978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2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2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4158</v>
      </c>
      <c r="B104" s="224" t="s">
        <v>3880</v>
      </c>
      <c r="C104" s="28" t="s">
        <v>4044</v>
      </c>
      <c r="D104" s="28" t="s">
        <v>4159</v>
      </c>
      <c r="E104" s="19" t="s">
        <v>4160</v>
      </c>
      <c r="F104" s="224" t="s">
        <v>332</v>
      </c>
      <c r="G104" s="224" t="s">
        <v>3882</v>
      </c>
      <c r="H104" s="28" t="s">
        <v>4161</v>
      </c>
      <c r="I104" s="19" t="s">
        <v>3917</v>
      </c>
      <c r="J104" s="28" t="s">
        <v>620</v>
      </c>
      <c r="K104" s="224"/>
      <c r="L104" s="224"/>
      <c r="M104" s="28" t="s">
        <v>620</v>
      </c>
      <c r="N104" s="19" t="s">
        <v>4109</v>
      </c>
      <c r="O104" s="6" t="s">
        <v>620</v>
      </c>
      <c r="P104" s="224" t="s">
        <v>3941</v>
      </c>
      <c r="Q104" s="44" t="n">
        <f aca="false">Spec_Rack!C23</f>
        <v>1.979</v>
      </c>
      <c r="R104" s="177" t="n">
        <f aca="false">SRC_HW_040</f>
        <v>1.979</v>
      </c>
      <c r="S104" s="42" t="str">
        <f aca="false">IF(ISNUMBER($AF104),INDEX(IDX_SrcStat,$AF104),"—")</f>
        <v>Active</v>
      </c>
      <c r="T104" s="42" t="n">
        <f aca="false">IF(ISNUMBER($AF104),INDEX(IDX_SrcGrade,$AF104),"—")</f>
        <v>1</v>
      </c>
      <c r="U104" s="42" t="s">
        <v>3919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2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2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4162</v>
      </c>
      <c r="B105" s="224" t="s">
        <v>3880</v>
      </c>
      <c r="C105" s="28" t="s">
        <v>4044</v>
      </c>
      <c r="D105" s="28" t="s">
        <v>4017</v>
      </c>
      <c r="E105" s="19" t="s">
        <v>4160</v>
      </c>
      <c r="F105" s="224" t="s">
        <v>332</v>
      </c>
      <c r="G105" s="224" t="s">
        <v>3882</v>
      </c>
      <c r="H105" s="28" t="s">
        <v>4163</v>
      </c>
      <c r="I105" s="19" t="s">
        <v>3917</v>
      </c>
      <c r="J105" s="28" t="s">
        <v>620</v>
      </c>
      <c r="K105" s="224"/>
      <c r="L105" s="224"/>
      <c r="M105" s="28" t="s">
        <v>620</v>
      </c>
      <c r="N105" s="19" t="s">
        <v>4109</v>
      </c>
      <c r="O105" s="6" t="s">
        <v>620</v>
      </c>
      <c r="P105" s="224" t="s">
        <v>3941</v>
      </c>
      <c r="Q105" s="44" t="n">
        <f aca="false">Spec_Rack!D23</f>
        <v>10</v>
      </c>
      <c r="R105" s="177" t="n">
        <f aca="false">SRC_HW_022</f>
        <v>10</v>
      </c>
      <c r="S105" s="42" t="str">
        <f aca="false">IF(ISNUMBER($AF105),INDEX(IDX_SrcStat,$AF105),"—")</f>
        <v>Active</v>
      </c>
      <c r="T105" s="42" t="n">
        <f aca="false">IF(ISNUMBER($AF105),INDEX(IDX_SrcGrade,$AF105),"—")</f>
        <v>1</v>
      </c>
      <c r="U105" s="42" t="s">
        <v>3919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2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2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4164</v>
      </c>
      <c r="B106" s="224" t="s">
        <v>3880</v>
      </c>
      <c r="C106" s="28" t="s">
        <v>4044</v>
      </c>
      <c r="D106" s="28" t="s">
        <v>4022</v>
      </c>
      <c r="E106" s="19" t="s">
        <v>4160</v>
      </c>
      <c r="F106" s="224" t="s">
        <v>332</v>
      </c>
      <c r="G106" s="224" t="s">
        <v>3882</v>
      </c>
      <c r="H106" s="28" t="s">
        <v>4165</v>
      </c>
      <c r="I106" s="19" t="s">
        <v>3917</v>
      </c>
      <c r="J106" s="28" t="s">
        <v>620</v>
      </c>
      <c r="K106" s="224"/>
      <c r="L106" s="224"/>
      <c r="M106" s="28" t="s">
        <v>620</v>
      </c>
      <c r="N106" s="19" t="s">
        <v>4109</v>
      </c>
      <c r="O106" s="6" t="s">
        <v>620</v>
      </c>
      <c r="P106" s="224" t="s">
        <v>3941</v>
      </c>
      <c r="Q106" s="44" t="n">
        <f aca="false">Spec_Rack!E23</f>
        <v>15</v>
      </c>
      <c r="R106" s="177" t="n">
        <f aca="false">SRC_HW_025</f>
        <v>15</v>
      </c>
      <c r="S106" s="42" t="str">
        <f aca="false">IF(ISNUMBER($AF106),INDEX(IDX_SrcStat,$AF106),"—")</f>
        <v>Active</v>
      </c>
      <c r="T106" s="42" t="n">
        <f aca="false">IF(ISNUMBER($AF106),INDEX(IDX_SrcGrade,$AF106),"—")</f>
        <v>1</v>
      </c>
      <c r="U106" s="42" t="s">
        <v>3919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2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2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4166</v>
      </c>
      <c r="B107" s="224" t="s">
        <v>3880</v>
      </c>
      <c r="C107" s="28" t="s">
        <v>4044</v>
      </c>
      <c r="D107" s="28" t="s">
        <v>4024</v>
      </c>
      <c r="E107" s="19" t="s">
        <v>4160</v>
      </c>
      <c r="F107" s="224" t="s">
        <v>332</v>
      </c>
      <c r="G107" s="224" t="s">
        <v>3882</v>
      </c>
      <c r="H107" s="28" t="s">
        <v>4167</v>
      </c>
      <c r="I107" s="19" t="s">
        <v>3917</v>
      </c>
      <c r="J107" s="28" t="s">
        <v>620</v>
      </c>
      <c r="K107" s="224"/>
      <c r="L107" s="224"/>
      <c r="M107" s="28" t="s">
        <v>620</v>
      </c>
      <c r="N107" s="19" t="s">
        <v>4109</v>
      </c>
      <c r="O107" s="6" t="s">
        <v>620</v>
      </c>
      <c r="P107" s="224" t="s">
        <v>3941</v>
      </c>
      <c r="Q107" s="44" t="n">
        <f aca="false">Spec_Rack!F23</f>
        <v>35</v>
      </c>
      <c r="R107" s="177" t="n">
        <f aca="false">SRC_HW_028</f>
        <v>35</v>
      </c>
      <c r="S107" s="42" t="str">
        <f aca="false">IF(ISNUMBER($AF107),INDEX(IDX_SrcStat,$AF107),"—")</f>
        <v>Active</v>
      </c>
      <c r="T107" s="42" t="n">
        <f aca="false">IF(ISNUMBER($AF107),INDEX(IDX_SrcGrade,$AF107),"—")</f>
        <v>1</v>
      </c>
      <c r="U107" s="42" t="s">
        <v>3919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2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2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4168</v>
      </c>
      <c r="B108" s="224" t="s">
        <v>3880</v>
      </c>
      <c r="C108" s="28" t="s">
        <v>4044</v>
      </c>
      <c r="D108" s="28" t="s">
        <v>4169</v>
      </c>
      <c r="E108" s="19" t="s">
        <v>4160</v>
      </c>
      <c r="F108" s="28" t="s">
        <v>147</v>
      </c>
      <c r="G108" s="224" t="s">
        <v>85</v>
      </c>
      <c r="H108" s="28" t="s">
        <v>4170</v>
      </c>
      <c r="I108" s="6" t="s">
        <v>4171</v>
      </c>
      <c r="J108" s="28" t="s">
        <v>620</v>
      </c>
      <c r="K108" s="177" t="n">
        <f aca="false">Spec_Rack!G23*0.7</f>
        <v>49</v>
      </c>
      <c r="L108" s="177" t="n">
        <f aca="false">Spec_Rack!G23*1.3</f>
        <v>91</v>
      </c>
      <c r="M108" s="28" t="s">
        <v>4172</v>
      </c>
      <c r="N108" s="6" t="s">
        <v>4173</v>
      </c>
      <c r="O108" s="6" t="s">
        <v>4174</v>
      </c>
      <c r="P108" s="224" t="s">
        <v>1151</v>
      </c>
      <c r="Q108" s="44" t="n">
        <f aca="false">Spec_Rack!G23</f>
        <v>70</v>
      </c>
      <c r="R108" s="177" t="n">
        <f aca="false">SRC_HW_063</f>
        <v>2520</v>
      </c>
      <c r="S108" s="42" t="str">
        <f aca="false">IF(ISNUMBER($AF108),INDEX(IDX_SrcStat,$AF108),"—")</f>
        <v>Active</v>
      </c>
      <c r="T108" s="42" t="n">
        <f aca="false">IF(ISNUMBER($AF108),INDEX(IDX_SrcGrade,$AF108),"—")</f>
        <v>1</v>
      </c>
      <c r="U108" s="42" t="s">
        <v>3886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2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2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4175</v>
      </c>
      <c r="B109" s="224" t="s">
        <v>3880</v>
      </c>
      <c r="C109" s="28" t="s">
        <v>4044</v>
      </c>
      <c r="D109" s="28" t="s">
        <v>4176</v>
      </c>
      <c r="E109" s="19" t="s">
        <v>4177</v>
      </c>
      <c r="F109" s="28" t="s">
        <v>3974</v>
      </c>
      <c r="G109" s="224" t="s">
        <v>3882</v>
      </c>
      <c r="H109" s="28" t="s">
        <v>620</v>
      </c>
      <c r="I109" s="6" t="s">
        <v>620</v>
      </c>
      <c r="J109" s="28" t="s">
        <v>620</v>
      </c>
      <c r="K109" s="224"/>
      <c r="L109" s="224"/>
      <c r="M109" s="28" t="s">
        <v>620</v>
      </c>
      <c r="N109" s="6" t="s">
        <v>4178</v>
      </c>
      <c r="O109" s="6" t="s">
        <v>620</v>
      </c>
      <c r="P109" s="224" t="s">
        <v>1151</v>
      </c>
      <c r="Q109" s="44" t="n">
        <f aca="false">Spec_Rack!C24</f>
        <v>1.979</v>
      </c>
      <c r="R109" s="28" t="s">
        <v>620</v>
      </c>
      <c r="S109" s="42" t="str">
        <f aca="false">IF(ISNUMBER($AF109),INDEX(IDX_SrcStat,$AF109),"—")</f>
        <v>—</v>
      </c>
      <c r="T109" s="42" t="str">
        <f aca="false">IF(ISNUMBER($AF109),INDEX(IDX_SrcGrade,$AF109),"—")</f>
        <v>—</v>
      </c>
      <c r="U109" s="42" t="s">
        <v>3978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2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2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4179</v>
      </c>
      <c r="B110" s="224" t="s">
        <v>3880</v>
      </c>
      <c r="C110" s="28" t="s">
        <v>4044</v>
      </c>
      <c r="D110" s="28" t="s">
        <v>4180</v>
      </c>
      <c r="E110" s="19" t="s">
        <v>4177</v>
      </c>
      <c r="F110" s="224" t="s">
        <v>332</v>
      </c>
      <c r="G110" s="224" t="s">
        <v>3882</v>
      </c>
      <c r="H110" s="28" t="s">
        <v>4163</v>
      </c>
      <c r="I110" s="19" t="s">
        <v>3917</v>
      </c>
      <c r="J110" s="28" t="s">
        <v>620</v>
      </c>
      <c r="K110" s="224"/>
      <c r="L110" s="224"/>
      <c r="M110" s="28" t="s">
        <v>620</v>
      </c>
      <c r="N110" s="19" t="s">
        <v>4020</v>
      </c>
      <c r="O110" s="6" t="s">
        <v>620</v>
      </c>
      <c r="P110" s="224" t="s">
        <v>1151</v>
      </c>
      <c r="Q110" s="44" t="n">
        <f aca="false">Spec_Rack!D24</f>
        <v>10</v>
      </c>
      <c r="R110" s="177" t="n">
        <f aca="false">SRC_HW_022</f>
        <v>10</v>
      </c>
      <c r="S110" s="42" t="str">
        <f aca="false">IF(ISNUMBER($AF110),INDEX(IDX_SrcStat,$AF110),"—")</f>
        <v>Active</v>
      </c>
      <c r="T110" s="42" t="n">
        <f aca="false">IF(ISNUMBER($AF110),INDEX(IDX_SrcGrade,$AF110),"—")</f>
        <v>1</v>
      </c>
      <c r="U110" s="42" t="s">
        <v>3919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2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2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4181</v>
      </c>
      <c r="B111" s="224" t="s">
        <v>3880</v>
      </c>
      <c r="C111" s="28" t="s">
        <v>4044</v>
      </c>
      <c r="D111" s="28" t="s">
        <v>4027</v>
      </c>
      <c r="E111" s="19" t="s">
        <v>4177</v>
      </c>
      <c r="F111" s="224" t="s">
        <v>332</v>
      </c>
      <c r="G111" s="224" t="s">
        <v>3882</v>
      </c>
      <c r="H111" s="28" t="s">
        <v>4165</v>
      </c>
      <c r="I111" s="19" t="s">
        <v>3917</v>
      </c>
      <c r="J111" s="28" t="s">
        <v>620</v>
      </c>
      <c r="K111" s="224"/>
      <c r="L111" s="224"/>
      <c r="M111" s="28" t="s">
        <v>620</v>
      </c>
      <c r="N111" s="19" t="s">
        <v>4020</v>
      </c>
      <c r="O111" s="6" t="s">
        <v>620</v>
      </c>
      <c r="P111" s="224" t="s">
        <v>1151</v>
      </c>
      <c r="Q111" s="44" t="n">
        <f aca="false">Spec_Rack!E24</f>
        <v>15</v>
      </c>
      <c r="R111" s="177" t="n">
        <f aca="false">SRC_HW_025</f>
        <v>15</v>
      </c>
      <c r="S111" s="42" t="str">
        <f aca="false">IF(ISNUMBER($AF111),INDEX(IDX_SrcStat,$AF111),"—")</f>
        <v>Active</v>
      </c>
      <c r="T111" s="42" t="n">
        <f aca="false">IF(ISNUMBER($AF111),INDEX(IDX_SrcGrade,$AF111),"—")</f>
        <v>1</v>
      </c>
      <c r="U111" s="42" t="s">
        <v>3919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2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2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4182</v>
      </c>
      <c r="B112" s="224" t="s">
        <v>3880</v>
      </c>
      <c r="C112" s="28" t="s">
        <v>4044</v>
      </c>
      <c r="D112" s="28" t="s">
        <v>4183</v>
      </c>
      <c r="E112" s="19" t="s">
        <v>4177</v>
      </c>
      <c r="F112" s="224" t="s">
        <v>332</v>
      </c>
      <c r="G112" s="224" t="s">
        <v>3882</v>
      </c>
      <c r="H112" s="28" t="s">
        <v>4184</v>
      </c>
      <c r="I112" s="19" t="s">
        <v>3917</v>
      </c>
      <c r="J112" s="28" t="s">
        <v>620</v>
      </c>
      <c r="K112" s="224"/>
      <c r="L112" s="224"/>
      <c r="M112" s="28" t="s">
        <v>620</v>
      </c>
      <c r="N112" s="19" t="s">
        <v>4020</v>
      </c>
      <c r="O112" s="6" t="s">
        <v>620</v>
      </c>
      <c r="P112" s="224" t="s">
        <v>1151</v>
      </c>
      <c r="Q112" s="44" t="n">
        <f aca="false">Spec_Rack!F24</f>
        <v>50</v>
      </c>
      <c r="R112" s="177" t="n">
        <f aca="false">SRC_HW_027</f>
        <v>50</v>
      </c>
      <c r="S112" s="42" t="str">
        <f aca="false">IF(ISNUMBER($AF112),INDEX(IDX_SrcStat,$AF112),"—")</f>
        <v>Active</v>
      </c>
      <c r="T112" s="42" t="n">
        <f aca="false">IF(ISNUMBER($AF112),INDEX(IDX_SrcGrade,$AF112),"—")</f>
        <v>1</v>
      </c>
      <c r="U112" s="42" t="s">
        <v>3919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2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2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4185</v>
      </c>
      <c r="B113" s="224" t="s">
        <v>3880</v>
      </c>
      <c r="C113" s="28" t="s">
        <v>4044</v>
      </c>
      <c r="D113" s="28" t="s">
        <v>4186</v>
      </c>
      <c r="E113" s="19" t="s">
        <v>4177</v>
      </c>
      <c r="F113" s="224" t="s">
        <v>147</v>
      </c>
      <c r="G113" s="224" t="s">
        <v>3882</v>
      </c>
      <c r="H113" s="28" t="s">
        <v>4170</v>
      </c>
      <c r="I113" s="19" t="s">
        <v>4187</v>
      </c>
      <c r="J113" s="28" t="s">
        <v>620</v>
      </c>
      <c r="K113" s="224"/>
      <c r="L113" s="224"/>
      <c r="M113" s="28" t="s">
        <v>620</v>
      </c>
      <c r="N113" s="19" t="s">
        <v>4188</v>
      </c>
      <c r="O113" s="19" t="s">
        <v>4189</v>
      </c>
      <c r="P113" s="224" t="s">
        <v>1151</v>
      </c>
      <c r="Q113" s="44" t="n">
        <f aca="false">Spec_Rack!G24</f>
        <v>100</v>
      </c>
      <c r="R113" s="177" t="n">
        <f aca="false">SRC_HW_063</f>
        <v>2520</v>
      </c>
      <c r="S113" s="42" t="str">
        <f aca="false">IF(ISNUMBER($AF113),INDEX(IDX_SrcStat,$AF113),"—")</f>
        <v>Active</v>
      </c>
      <c r="T113" s="42" t="n">
        <f aca="false">IF(ISNUMBER($AF113),INDEX(IDX_SrcGrade,$AF113),"—")</f>
        <v>1</v>
      </c>
      <c r="U113" s="42" t="s">
        <v>3886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2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2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4190</v>
      </c>
      <c r="B114" s="224" t="s">
        <v>3880</v>
      </c>
      <c r="C114" s="28" t="s">
        <v>4044</v>
      </c>
      <c r="D114" s="28" t="s">
        <v>4191</v>
      </c>
      <c r="E114" s="6" t="s">
        <v>225</v>
      </c>
      <c r="F114" s="224" t="s">
        <v>332</v>
      </c>
      <c r="G114" s="224" t="s">
        <v>3882</v>
      </c>
      <c r="H114" s="28" t="s">
        <v>4192</v>
      </c>
      <c r="I114" s="19" t="s">
        <v>3917</v>
      </c>
      <c r="J114" s="28" t="s">
        <v>620</v>
      </c>
      <c r="K114" s="224"/>
      <c r="L114" s="224"/>
      <c r="M114" s="28" t="s">
        <v>620</v>
      </c>
      <c r="N114" s="19" t="s">
        <v>4109</v>
      </c>
      <c r="O114" s="6" t="s">
        <v>620</v>
      </c>
      <c r="P114" s="224" t="s">
        <v>3941</v>
      </c>
      <c r="Q114" s="47" t="n">
        <f aca="false">Spec_Rack!C25</f>
        <v>80</v>
      </c>
      <c r="R114" s="177" t="n">
        <f aca="false">SRC_HW_020</f>
        <v>80</v>
      </c>
      <c r="S114" s="42" t="str">
        <f aca="false">IF(ISNUMBER($AF114),INDEX(IDX_SrcStat,$AF114),"—")</f>
        <v>Active</v>
      </c>
      <c r="T114" s="42" t="n">
        <f aca="false">IF(ISNUMBER($AF114),INDEX(IDX_SrcGrade,$AF114),"—")</f>
        <v>3</v>
      </c>
      <c r="U114" s="42" t="s">
        <v>3919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2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2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4193</v>
      </c>
      <c r="B115" s="224" t="s">
        <v>3880</v>
      </c>
      <c r="C115" s="28" t="s">
        <v>4044</v>
      </c>
      <c r="D115" s="28" t="s">
        <v>4194</v>
      </c>
      <c r="E115" s="6" t="s">
        <v>225</v>
      </c>
      <c r="F115" s="224" t="s">
        <v>4073</v>
      </c>
      <c r="G115" s="224" t="s">
        <v>3882</v>
      </c>
      <c r="H115" s="28" t="s">
        <v>4195</v>
      </c>
      <c r="I115" s="19" t="s">
        <v>4196</v>
      </c>
      <c r="J115" s="28" t="s">
        <v>620</v>
      </c>
      <c r="K115" s="224"/>
      <c r="L115" s="224"/>
      <c r="M115" s="28" t="s">
        <v>620</v>
      </c>
      <c r="N115" s="19" t="s">
        <v>4197</v>
      </c>
      <c r="O115" s="6" t="s">
        <v>620</v>
      </c>
      <c r="P115" s="224" t="s">
        <v>3941</v>
      </c>
      <c r="Q115" s="47" t="n">
        <f aca="false">Spec_Rack!D25</f>
        <v>186</v>
      </c>
      <c r="R115" s="177" t="n">
        <f aca="false">SRC_HW_041</f>
        <v>13.4</v>
      </c>
      <c r="S115" s="42" t="str">
        <f aca="false">IF(ISNUMBER($AF115),INDEX(IDX_SrcStat,$AF115),"—")</f>
        <v>Active</v>
      </c>
      <c r="T115" s="42" t="n">
        <f aca="false">IF(ISNUMBER($AF115),INDEX(IDX_SrcGrade,$AF115),"—")</f>
        <v>3</v>
      </c>
      <c r="U115" s="42" t="s">
        <v>3886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2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2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4198</v>
      </c>
      <c r="B116" s="224" t="s">
        <v>3880</v>
      </c>
      <c r="C116" s="28" t="s">
        <v>4044</v>
      </c>
      <c r="D116" s="28" t="s">
        <v>4032</v>
      </c>
      <c r="E116" s="6" t="s">
        <v>225</v>
      </c>
      <c r="F116" s="224" t="s">
        <v>332</v>
      </c>
      <c r="G116" s="224" t="s">
        <v>3882</v>
      </c>
      <c r="H116" s="28" t="s">
        <v>4199</v>
      </c>
      <c r="I116" s="19" t="s">
        <v>3917</v>
      </c>
      <c r="J116" s="28" t="s">
        <v>620</v>
      </c>
      <c r="K116" s="224"/>
      <c r="L116" s="224"/>
      <c r="M116" s="28" t="s">
        <v>620</v>
      </c>
      <c r="N116" s="19" t="s">
        <v>4109</v>
      </c>
      <c r="O116" s="6" t="s">
        <v>620</v>
      </c>
      <c r="P116" s="224" t="s">
        <v>3941</v>
      </c>
      <c r="Q116" s="47" t="n">
        <f aca="false">Spec_Rack!E25</f>
        <v>288</v>
      </c>
      <c r="R116" s="177" t="n">
        <f aca="false">SRC_HW_026</f>
        <v>288</v>
      </c>
      <c r="S116" s="42" t="str">
        <f aca="false">IF(ISNUMBER($AF116),INDEX(IDX_SrcStat,$AF116),"—")</f>
        <v>Active</v>
      </c>
      <c r="T116" s="42" t="n">
        <f aca="false">IF(ISNUMBER($AF116),INDEX(IDX_SrcGrade,$AF116),"—")</f>
        <v>3</v>
      </c>
      <c r="U116" s="42" t="s">
        <v>3919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2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2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4200</v>
      </c>
      <c r="B117" s="224" t="s">
        <v>3880</v>
      </c>
      <c r="C117" s="28" t="s">
        <v>4044</v>
      </c>
      <c r="D117" s="28" t="s">
        <v>4201</v>
      </c>
      <c r="E117" s="6" t="s">
        <v>225</v>
      </c>
      <c r="F117" s="224" t="s">
        <v>332</v>
      </c>
      <c r="G117" s="224" t="s">
        <v>3882</v>
      </c>
      <c r="H117" s="28" t="s">
        <v>4202</v>
      </c>
      <c r="I117" s="19" t="s">
        <v>3917</v>
      </c>
      <c r="J117" s="28" t="s">
        <v>620</v>
      </c>
      <c r="K117" s="224"/>
      <c r="L117" s="224"/>
      <c r="M117" s="28" t="s">
        <v>620</v>
      </c>
      <c r="N117" s="19" t="s">
        <v>4109</v>
      </c>
      <c r="O117" s="6" t="s">
        <v>620</v>
      </c>
      <c r="P117" s="224" t="s">
        <v>3941</v>
      </c>
      <c r="Q117" s="47" t="n">
        <f aca="false">Spec_Rack!F25</f>
        <v>288</v>
      </c>
      <c r="R117" s="177" t="n">
        <f aca="false">SRC_HW_029</f>
        <v>288</v>
      </c>
      <c r="S117" s="42" t="str">
        <f aca="false">IF(ISNUMBER($AF117),INDEX(IDX_SrcStat,$AF117),"—")</f>
        <v>Active</v>
      </c>
      <c r="T117" s="42" t="n">
        <f aca="false">IF(ISNUMBER($AF117),INDEX(IDX_SrcGrade,$AF117),"—")</f>
        <v>3</v>
      </c>
      <c r="U117" s="42" t="s">
        <v>3919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2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2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4203</v>
      </c>
      <c r="B118" s="224" t="s">
        <v>3880</v>
      </c>
      <c r="C118" s="28" t="s">
        <v>4044</v>
      </c>
      <c r="D118" s="28" t="s">
        <v>4204</v>
      </c>
      <c r="E118" s="6" t="s">
        <v>225</v>
      </c>
      <c r="F118" s="28" t="s">
        <v>100</v>
      </c>
      <c r="G118" s="224" t="s">
        <v>85</v>
      </c>
      <c r="H118" s="28" t="s">
        <v>620</v>
      </c>
      <c r="I118" s="6" t="s">
        <v>620</v>
      </c>
      <c r="J118" s="28" t="s">
        <v>620</v>
      </c>
      <c r="K118" s="177" t="n">
        <f aca="false">Spec_Rack!G25*0.7</f>
        <v>716.8</v>
      </c>
      <c r="L118" s="177" t="n">
        <f aca="false">Spec_Rack!G25*1.3</f>
        <v>1331.2</v>
      </c>
      <c r="M118" s="28" t="s">
        <v>4172</v>
      </c>
      <c r="N118" s="6" t="s">
        <v>4205</v>
      </c>
      <c r="O118" s="6" t="s">
        <v>620</v>
      </c>
      <c r="P118" s="224" t="s">
        <v>3941</v>
      </c>
      <c r="Q118" s="47" t="n">
        <f aca="false">Spec_Rack!G25</f>
        <v>1024</v>
      </c>
      <c r="R118" s="28" t="s">
        <v>620</v>
      </c>
      <c r="S118" s="42" t="str">
        <f aca="false">IF(ISNUMBER($AF118),INDEX(IDX_SrcStat,$AF118),"—")</f>
        <v>—</v>
      </c>
      <c r="T118" s="42" t="str">
        <f aca="false">IF(ISNUMBER($AF118),INDEX(IDX_SrcGrade,$AF118),"—")</f>
        <v>—</v>
      </c>
      <c r="U118" s="42" t="s">
        <v>3886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2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2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4206</v>
      </c>
      <c r="B119" s="224" t="s">
        <v>3880</v>
      </c>
      <c r="C119" s="28" t="s">
        <v>4044</v>
      </c>
      <c r="D119" s="28" t="s">
        <v>4207</v>
      </c>
      <c r="E119" s="6" t="s">
        <v>227</v>
      </c>
      <c r="F119" s="224" t="s">
        <v>332</v>
      </c>
      <c r="G119" s="224" t="s">
        <v>3882</v>
      </c>
      <c r="H119" s="28" t="s">
        <v>4208</v>
      </c>
      <c r="I119" s="19" t="s">
        <v>3917</v>
      </c>
      <c r="J119" s="28" t="s">
        <v>620</v>
      </c>
      <c r="K119" s="224"/>
      <c r="L119" s="224"/>
      <c r="M119" s="28" t="s">
        <v>620</v>
      </c>
      <c r="N119" s="19" t="s">
        <v>4109</v>
      </c>
      <c r="O119" s="6" t="s">
        <v>620</v>
      </c>
      <c r="P119" s="224" t="s">
        <v>3941</v>
      </c>
      <c r="Q119" s="49" t="n">
        <f aca="false">Spec_Rack!C26</f>
        <v>3.35</v>
      </c>
      <c r="R119" s="177" t="n">
        <f aca="false">SRC_HW_021</f>
        <v>3.35</v>
      </c>
      <c r="S119" s="42" t="str">
        <f aca="false">IF(ISNUMBER($AF119),INDEX(IDX_SrcStat,$AF119),"—")</f>
        <v>Active</v>
      </c>
      <c r="T119" s="42" t="n">
        <f aca="false">IF(ISNUMBER($AF119),INDEX(IDX_SrcGrade,$AF119),"—")</f>
        <v>3</v>
      </c>
      <c r="U119" s="42" t="s">
        <v>3919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2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2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4209</v>
      </c>
      <c r="B120" s="224" t="s">
        <v>3880</v>
      </c>
      <c r="C120" s="28" t="s">
        <v>4044</v>
      </c>
      <c r="D120" s="28" t="s">
        <v>4210</v>
      </c>
      <c r="E120" s="6" t="s">
        <v>227</v>
      </c>
      <c r="F120" s="224" t="s">
        <v>332</v>
      </c>
      <c r="G120" s="224" t="s">
        <v>3882</v>
      </c>
      <c r="H120" s="28" t="s">
        <v>4211</v>
      </c>
      <c r="I120" s="19" t="s">
        <v>3917</v>
      </c>
      <c r="J120" s="28" t="s">
        <v>620</v>
      </c>
      <c r="K120" s="224"/>
      <c r="L120" s="224"/>
      <c r="M120" s="28" t="s">
        <v>620</v>
      </c>
      <c r="N120" s="19" t="s">
        <v>4109</v>
      </c>
      <c r="O120" s="6" t="s">
        <v>620</v>
      </c>
      <c r="P120" s="224" t="s">
        <v>3941</v>
      </c>
      <c r="Q120" s="49" t="n">
        <f aca="false">Spec_Rack!D26</f>
        <v>8</v>
      </c>
      <c r="R120" s="177" t="n">
        <f aca="false">SRC_HW_023</f>
        <v>8</v>
      </c>
      <c r="S120" s="42" t="str">
        <f aca="false">IF(ISNUMBER($AF120),INDEX(IDX_SrcStat,$AF120),"—")</f>
        <v>Active</v>
      </c>
      <c r="T120" s="42" t="n">
        <f aca="false">IF(ISNUMBER($AF120),INDEX(IDX_SrcGrade,$AF120),"—")</f>
        <v>3</v>
      </c>
      <c r="U120" s="42" t="s">
        <v>3919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2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2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4212</v>
      </c>
      <c r="B121" s="224" t="s">
        <v>3880</v>
      </c>
      <c r="C121" s="28" t="s">
        <v>4044</v>
      </c>
      <c r="D121" s="28" t="s">
        <v>4036</v>
      </c>
      <c r="E121" s="6" t="s">
        <v>227</v>
      </c>
      <c r="F121" s="224" t="s">
        <v>332</v>
      </c>
      <c r="G121" s="224" t="s">
        <v>3882</v>
      </c>
      <c r="H121" s="28" t="s">
        <v>4213</v>
      </c>
      <c r="I121" s="19" t="s">
        <v>3917</v>
      </c>
      <c r="J121" s="28" t="s">
        <v>620</v>
      </c>
      <c r="K121" s="224"/>
      <c r="L121" s="224"/>
      <c r="M121" s="28" t="s">
        <v>620</v>
      </c>
      <c r="N121" s="19" t="s">
        <v>4109</v>
      </c>
      <c r="O121" s="6" t="s">
        <v>620</v>
      </c>
      <c r="P121" s="224" t="s">
        <v>3941</v>
      </c>
      <c r="Q121" s="49" t="n">
        <f aca="false">Spec_Rack!E26</f>
        <v>8</v>
      </c>
      <c r="R121" s="177" t="n">
        <f aca="false">SRC_HW_059</f>
        <v>8</v>
      </c>
      <c r="S121" s="42" t="str">
        <f aca="false">IF(ISNUMBER($AF121),INDEX(IDX_SrcStat,$AF121),"—")</f>
        <v>Active</v>
      </c>
      <c r="T121" s="42" t="n">
        <f aca="false">IF(ISNUMBER($AF121),INDEX(IDX_SrcGrade,$AF121),"—")</f>
        <v>3</v>
      </c>
      <c r="U121" s="42" t="s">
        <v>3919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2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2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4214</v>
      </c>
      <c r="B122" s="224" t="s">
        <v>3880</v>
      </c>
      <c r="C122" s="28" t="s">
        <v>4044</v>
      </c>
      <c r="D122" s="28" t="s">
        <v>4215</v>
      </c>
      <c r="E122" s="6" t="s">
        <v>227</v>
      </c>
      <c r="F122" s="224" t="s">
        <v>332</v>
      </c>
      <c r="G122" s="224" t="s">
        <v>3882</v>
      </c>
      <c r="H122" s="28" t="s">
        <v>4216</v>
      </c>
      <c r="I122" s="19" t="s">
        <v>3917</v>
      </c>
      <c r="J122" s="28" t="s">
        <v>620</v>
      </c>
      <c r="K122" s="224"/>
      <c r="L122" s="224"/>
      <c r="M122" s="28" t="s">
        <v>620</v>
      </c>
      <c r="N122" s="19" t="s">
        <v>4109</v>
      </c>
      <c r="O122" s="6" t="s">
        <v>620</v>
      </c>
      <c r="P122" s="224" t="s">
        <v>3941</v>
      </c>
      <c r="Q122" s="49" t="n">
        <f aca="false">Spec_Rack!F26</f>
        <v>22</v>
      </c>
      <c r="R122" s="177" t="n">
        <f aca="false">SRC_HW_030</f>
        <v>22</v>
      </c>
      <c r="S122" s="42" t="str">
        <f aca="false">IF(ISNUMBER($AF122),INDEX(IDX_SrcStat,$AF122),"—")</f>
        <v>Active</v>
      </c>
      <c r="T122" s="42" t="n">
        <f aca="false">IF(ISNUMBER($AF122),INDEX(IDX_SrcGrade,$AF122),"—")</f>
        <v>3</v>
      </c>
      <c r="U122" s="42" t="s">
        <v>3919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2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2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4217</v>
      </c>
      <c r="B123" s="224" t="s">
        <v>3880</v>
      </c>
      <c r="C123" s="28" t="s">
        <v>4044</v>
      </c>
      <c r="D123" s="28" t="s">
        <v>4218</v>
      </c>
      <c r="E123" s="6" t="s">
        <v>227</v>
      </c>
      <c r="F123" s="224" t="s">
        <v>4073</v>
      </c>
      <c r="G123" s="224" t="s">
        <v>3882</v>
      </c>
      <c r="H123" s="28" t="s">
        <v>4219</v>
      </c>
      <c r="I123" s="19" t="s">
        <v>4220</v>
      </c>
      <c r="J123" s="28" t="s">
        <v>620</v>
      </c>
      <c r="K123" s="224"/>
      <c r="L123" s="224"/>
      <c r="M123" s="28" t="s">
        <v>620</v>
      </c>
      <c r="N123" s="19" t="s">
        <v>4221</v>
      </c>
      <c r="O123" s="6" t="s">
        <v>620</v>
      </c>
      <c r="P123" s="224" t="s">
        <v>3941</v>
      </c>
      <c r="Q123" s="49" t="n">
        <f aca="false">Spec_Rack!G26</f>
        <v>32</v>
      </c>
      <c r="R123" s="177" t="n">
        <f aca="false">SRC_HW_044</f>
        <v>4600</v>
      </c>
      <c r="S123" s="42" t="str">
        <f aca="false">IF(ISNUMBER($AF123),INDEX(IDX_SrcStat,$AF123),"—")</f>
        <v>Active</v>
      </c>
      <c r="T123" s="42" t="n">
        <f aca="false">IF(ISNUMBER($AF123),INDEX(IDX_SrcGrade,$AF123),"—")</f>
        <v>3</v>
      </c>
      <c r="U123" s="42" t="s">
        <v>3886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2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2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4222</v>
      </c>
      <c r="B124" s="224" t="s">
        <v>3880</v>
      </c>
      <c r="C124" s="28" t="s">
        <v>4044</v>
      </c>
      <c r="D124" s="28" t="s">
        <v>4223</v>
      </c>
      <c r="E124" s="6" t="s">
        <v>229</v>
      </c>
      <c r="F124" s="224" t="s">
        <v>332</v>
      </c>
      <c r="G124" s="224" t="s">
        <v>3882</v>
      </c>
      <c r="H124" s="28" t="s">
        <v>4224</v>
      </c>
      <c r="I124" s="19" t="s">
        <v>4225</v>
      </c>
      <c r="J124" s="28" t="s">
        <v>620</v>
      </c>
      <c r="K124" s="224"/>
      <c r="L124" s="224"/>
      <c r="M124" s="28" t="s">
        <v>620</v>
      </c>
      <c r="N124" s="19" t="s">
        <v>4020</v>
      </c>
      <c r="O124" s="6" t="s">
        <v>620</v>
      </c>
      <c r="P124" s="224" t="s">
        <v>3885</v>
      </c>
      <c r="Q124" s="49" t="n">
        <f aca="false">Spec_Rack!C27</f>
        <v>0.05</v>
      </c>
      <c r="R124" s="177" t="n">
        <f aca="false">SRC_HW_060</f>
        <v>400</v>
      </c>
      <c r="S124" s="42" t="str">
        <f aca="false">IF(ISNUMBER($AF124),INDEX(IDX_SrcStat,$AF124),"—")</f>
        <v>Active</v>
      </c>
      <c r="T124" s="42" t="n">
        <f aca="false">IF(ISNUMBER($AF124),INDEX(IDX_SrcGrade,$AF124),"—")</f>
        <v>3</v>
      </c>
      <c r="U124" s="42" t="s">
        <v>3919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2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2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4226</v>
      </c>
      <c r="B125" s="224" t="s">
        <v>3880</v>
      </c>
      <c r="C125" s="28" t="s">
        <v>4044</v>
      </c>
      <c r="D125" s="28" t="s">
        <v>4227</v>
      </c>
      <c r="E125" s="6" t="s">
        <v>229</v>
      </c>
      <c r="F125" s="224" t="s">
        <v>332</v>
      </c>
      <c r="G125" s="224" t="s">
        <v>3882</v>
      </c>
      <c r="H125" s="28" t="s">
        <v>4228</v>
      </c>
      <c r="I125" s="19" t="s">
        <v>3917</v>
      </c>
      <c r="J125" s="28" t="s">
        <v>620</v>
      </c>
      <c r="K125" s="224"/>
      <c r="L125" s="224"/>
      <c r="M125" s="28" t="s">
        <v>620</v>
      </c>
      <c r="N125" s="19" t="s">
        <v>4020</v>
      </c>
      <c r="O125" s="6" t="s">
        <v>620</v>
      </c>
      <c r="P125" s="224" t="s">
        <v>3885</v>
      </c>
      <c r="Q125" s="49" t="n">
        <f aca="false">Spec_Rack!D27</f>
        <v>0.9</v>
      </c>
      <c r="R125" s="177" t="n">
        <f aca="false">SRC_HW_048</f>
        <v>0.9</v>
      </c>
      <c r="S125" s="42" t="str">
        <f aca="false">IF(ISNUMBER($AF125),INDEX(IDX_SrcStat,$AF125),"—")</f>
        <v>Active</v>
      </c>
      <c r="T125" s="42" t="n">
        <f aca="false">IF(ISNUMBER($AF125),INDEX(IDX_SrcGrade,$AF125),"—")</f>
        <v>3</v>
      </c>
      <c r="U125" s="42" t="s">
        <v>3919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2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2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4229</v>
      </c>
      <c r="B126" s="224" t="s">
        <v>3880</v>
      </c>
      <c r="C126" s="28" t="s">
        <v>4044</v>
      </c>
      <c r="D126" s="28" t="s">
        <v>4040</v>
      </c>
      <c r="E126" s="6" t="s">
        <v>229</v>
      </c>
      <c r="F126" s="224" t="s">
        <v>332</v>
      </c>
      <c r="G126" s="224" t="s">
        <v>3882</v>
      </c>
      <c r="H126" s="28" t="s">
        <v>4228</v>
      </c>
      <c r="I126" s="19" t="s">
        <v>3917</v>
      </c>
      <c r="J126" s="28" t="s">
        <v>620</v>
      </c>
      <c r="K126" s="224"/>
      <c r="L126" s="224"/>
      <c r="M126" s="28" t="s">
        <v>620</v>
      </c>
      <c r="N126" s="19" t="s">
        <v>4020</v>
      </c>
      <c r="O126" s="6" t="s">
        <v>620</v>
      </c>
      <c r="P126" s="224" t="s">
        <v>3885</v>
      </c>
      <c r="Q126" s="49" t="n">
        <f aca="false">Spec_Rack!E27</f>
        <v>0.9</v>
      </c>
      <c r="R126" s="177" t="n">
        <f aca="false">SRC_HW_048</f>
        <v>0.9</v>
      </c>
      <c r="S126" s="42" t="str">
        <f aca="false">IF(ISNUMBER($AF126),INDEX(IDX_SrcStat,$AF126),"—")</f>
        <v>Active</v>
      </c>
      <c r="T126" s="42" t="n">
        <f aca="false">IF(ISNUMBER($AF126),INDEX(IDX_SrcGrade,$AF126),"—")</f>
        <v>3</v>
      </c>
      <c r="U126" s="42" t="s">
        <v>3919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2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2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4230</v>
      </c>
      <c r="B127" s="224" t="s">
        <v>3880</v>
      </c>
      <c r="C127" s="28" t="s">
        <v>4044</v>
      </c>
      <c r="D127" s="28" t="s">
        <v>4231</v>
      </c>
      <c r="E127" s="6" t="s">
        <v>229</v>
      </c>
      <c r="F127" s="224" t="s">
        <v>332</v>
      </c>
      <c r="G127" s="224" t="s">
        <v>3882</v>
      </c>
      <c r="H127" s="28" t="s">
        <v>4232</v>
      </c>
      <c r="I127" s="19" t="s">
        <v>3917</v>
      </c>
      <c r="J127" s="28" t="s">
        <v>620</v>
      </c>
      <c r="K127" s="224"/>
      <c r="L127" s="224"/>
      <c r="M127" s="28" t="s">
        <v>620</v>
      </c>
      <c r="N127" s="19" t="s">
        <v>4020</v>
      </c>
      <c r="O127" s="6" t="s">
        <v>620</v>
      </c>
      <c r="P127" s="224" t="s">
        <v>3885</v>
      </c>
      <c r="Q127" s="49" t="n">
        <f aca="false">Spec_Rack!F27</f>
        <v>1.8</v>
      </c>
      <c r="R127" s="177" t="n">
        <f aca="false">SRC_HW_049</f>
        <v>1.8</v>
      </c>
      <c r="S127" s="42" t="str">
        <f aca="false">IF(ISNUMBER($AF127),INDEX(IDX_SrcStat,$AF127),"—")</f>
        <v>Active</v>
      </c>
      <c r="T127" s="42" t="n">
        <f aca="false">IF(ISNUMBER($AF127),INDEX(IDX_SrcGrade,$AF127),"—")</f>
        <v>3</v>
      </c>
      <c r="U127" s="42" t="s">
        <v>3919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2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2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4233</v>
      </c>
      <c r="B128" s="224" t="s">
        <v>3880</v>
      </c>
      <c r="C128" s="28" t="s">
        <v>4044</v>
      </c>
      <c r="D128" s="28" t="s">
        <v>4234</v>
      </c>
      <c r="E128" s="6" t="s">
        <v>229</v>
      </c>
      <c r="F128" s="28" t="s">
        <v>100</v>
      </c>
      <c r="G128" s="224" t="s">
        <v>3882</v>
      </c>
      <c r="H128" s="28" t="s">
        <v>620</v>
      </c>
      <c r="I128" s="6" t="s">
        <v>620</v>
      </c>
      <c r="J128" s="28" t="s">
        <v>620</v>
      </c>
      <c r="K128" s="226" t="n">
        <v>1.8</v>
      </c>
      <c r="L128" s="226" t="n">
        <v>3.6</v>
      </c>
      <c r="M128" s="28" t="s">
        <v>4235</v>
      </c>
      <c r="N128" s="6" t="s">
        <v>4236</v>
      </c>
      <c r="O128" s="6" t="s">
        <v>620</v>
      </c>
      <c r="P128" s="224" t="s">
        <v>3885</v>
      </c>
      <c r="Q128" s="49" t="n">
        <f aca="false">Spec_Rack!G27</f>
        <v>1.8</v>
      </c>
      <c r="R128" s="28" t="s">
        <v>620</v>
      </c>
      <c r="S128" s="42" t="str">
        <f aca="false">IF(ISNUMBER($AF128),INDEX(IDX_SrcStat,$AF128),"—")</f>
        <v>—</v>
      </c>
      <c r="T128" s="42" t="str">
        <f aca="false">IF(ISNUMBER($AF128),INDEX(IDX_SrcGrade,$AF128),"—")</f>
        <v>—</v>
      </c>
      <c r="U128" s="42" t="s">
        <v>3886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2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2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4237</v>
      </c>
      <c r="B129" s="224" t="s">
        <v>3880</v>
      </c>
      <c r="C129" s="28" t="s">
        <v>4044</v>
      </c>
      <c r="D129" s="28" t="s">
        <v>4238</v>
      </c>
      <c r="E129" s="6" t="s">
        <v>231</v>
      </c>
      <c r="F129" s="224" t="s">
        <v>332</v>
      </c>
      <c r="G129" s="224" t="s">
        <v>3882</v>
      </c>
      <c r="H129" s="28" t="s">
        <v>4239</v>
      </c>
      <c r="I129" s="19" t="s">
        <v>3917</v>
      </c>
      <c r="J129" s="28" t="s">
        <v>620</v>
      </c>
      <c r="K129" s="224"/>
      <c r="L129" s="224"/>
      <c r="M129" s="28" t="s">
        <v>620</v>
      </c>
      <c r="N129" s="19" t="s">
        <v>4020</v>
      </c>
      <c r="O129" s="6" t="s">
        <v>620</v>
      </c>
      <c r="P129" s="224" t="s">
        <v>1151</v>
      </c>
      <c r="Q129" s="47" t="n">
        <f aca="false">Spec_Rack!C28</f>
        <v>8</v>
      </c>
      <c r="R129" s="177" t="n">
        <f aca="false">SRC_HW_053</f>
        <v>8</v>
      </c>
      <c r="S129" s="42" t="str">
        <f aca="false">IF(ISNUMBER($AF129),INDEX(IDX_SrcStat,$AF129),"—")</f>
        <v>Active</v>
      </c>
      <c r="T129" s="42" t="n">
        <f aca="false">IF(ISNUMBER($AF129),INDEX(IDX_SrcGrade,$AF129),"—")</f>
        <v>1</v>
      </c>
      <c r="U129" s="42" t="s">
        <v>3919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2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2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4240</v>
      </c>
      <c r="B130" s="224" t="s">
        <v>3880</v>
      </c>
      <c r="C130" s="28" t="s">
        <v>4044</v>
      </c>
      <c r="D130" s="28" t="s">
        <v>3969</v>
      </c>
      <c r="E130" s="6" t="s">
        <v>231</v>
      </c>
      <c r="F130" s="224" t="s">
        <v>332</v>
      </c>
      <c r="G130" s="224" t="s">
        <v>3882</v>
      </c>
      <c r="H130" s="28" t="s">
        <v>4050</v>
      </c>
      <c r="I130" s="19" t="s">
        <v>3917</v>
      </c>
      <c r="J130" s="28" t="s">
        <v>620</v>
      </c>
      <c r="K130" s="224"/>
      <c r="L130" s="224"/>
      <c r="M130" s="28" t="s">
        <v>620</v>
      </c>
      <c r="N130" s="19" t="s">
        <v>4020</v>
      </c>
      <c r="O130" s="6" t="s">
        <v>620</v>
      </c>
      <c r="P130" s="224" t="s">
        <v>1151</v>
      </c>
      <c r="Q130" s="47" t="n">
        <f aca="false">Spec_Rack!D28</f>
        <v>72</v>
      </c>
      <c r="R130" s="177" t="n">
        <f aca="false">SRC_HW_047</f>
        <v>72</v>
      </c>
      <c r="S130" s="42" t="str">
        <f aca="false">IF(ISNUMBER($AF130),INDEX(IDX_SrcStat,$AF130),"—")</f>
        <v>Active</v>
      </c>
      <c r="T130" s="42" t="n">
        <f aca="false">IF(ISNUMBER($AF130),INDEX(IDX_SrcGrade,$AF130),"—")</f>
        <v>1</v>
      </c>
      <c r="U130" s="42" t="s">
        <v>3919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2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2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4241</v>
      </c>
      <c r="B131" s="224" t="s">
        <v>3880</v>
      </c>
      <c r="C131" s="28" t="s">
        <v>4044</v>
      </c>
      <c r="D131" s="28" t="s">
        <v>3967</v>
      </c>
      <c r="E131" s="6" t="s">
        <v>231</v>
      </c>
      <c r="F131" s="224" t="s">
        <v>332</v>
      </c>
      <c r="G131" s="224" t="s">
        <v>3882</v>
      </c>
      <c r="H131" s="28" t="s">
        <v>4050</v>
      </c>
      <c r="I131" s="19" t="s">
        <v>3917</v>
      </c>
      <c r="J131" s="28" t="s">
        <v>620</v>
      </c>
      <c r="K131" s="224"/>
      <c r="L131" s="224"/>
      <c r="M131" s="28" t="s">
        <v>620</v>
      </c>
      <c r="N131" s="19" t="s">
        <v>4020</v>
      </c>
      <c r="O131" s="6" t="s">
        <v>620</v>
      </c>
      <c r="P131" s="224" t="s">
        <v>1151</v>
      </c>
      <c r="Q131" s="47" t="n">
        <f aca="false">Spec_Rack!E28</f>
        <v>72</v>
      </c>
      <c r="R131" s="177" t="n">
        <f aca="false">SRC_HW_047</f>
        <v>72</v>
      </c>
      <c r="S131" s="42" t="str">
        <f aca="false">IF(ISNUMBER($AF131),INDEX(IDX_SrcStat,$AF131),"—")</f>
        <v>Active</v>
      </c>
      <c r="T131" s="42" t="n">
        <f aca="false">IF(ISNUMBER($AF131),INDEX(IDX_SrcGrade,$AF131),"—")</f>
        <v>1</v>
      </c>
      <c r="U131" s="42" t="s">
        <v>3919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2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2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4242</v>
      </c>
      <c r="B132" s="224" t="s">
        <v>3880</v>
      </c>
      <c r="C132" s="28" t="s">
        <v>4044</v>
      </c>
      <c r="D132" s="28" t="s">
        <v>3971</v>
      </c>
      <c r="E132" s="6" t="s">
        <v>231</v>
      </c>
      <c r="F132" s="224" t="s">
        <v>332</v>
      </c>
      <c r="G132" s="224" t="s">
        <v>3882</v>
      </c>
      <c r="H132" s="28" t="s">
        <v>4050</v>
      </c>
      <c r="I132" s="19" t="s">
        <v>3917</v>
      </c>
      <c r="J132" s="28" t="s">
        <v>620</v>
      </c>
      <c r="K132" s="224"/>
      <c r="L132" s="224"/>
      <c r="M132" s="28" t="s">
        <v>620</v>
      </c>
      <c r="N132" s="19" t="s">
        <v>4020</v>
      </c>
      <c r="O132" s="6" t="s">
        <v>620</v>
      </c>
      <c r="P132" s="224" t="s">
        <v>1151</v>
      </c>
      <c r="Q132" s="47" t="n">
        <f aca="false">Spec_Rack!F28</f>
        <v>72</v>
      </c>
      <c r="R132" s="177" t="n">
        <f aca="false">SRC_HW_047</f>
        <v>72</v>
      </c>
      <c r="S132" s="42" t="str">
        <f aca="false">IF(ISNUMBER($AF132),INDEX(IDX_SrcStat,$AF132),"—")</f>
        <v>Active</v>
      </c>
      <c r="T132" s="42" t="n">
        <f aca="false">IF(ISNUMBER($AF132),INDEX(IDX_SrcGrade,$AF132),"—")</f>
        <v>1</v>
      </c>
      <c r="U132" s="42" t="s">
        <v>3919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2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2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4243</v>
      </c>
      <c r="B133" s="224" t="s">
        <v>3880</v>
      </c>
      <c r="C133" s="28" t="s">
        <v>4044</v>
      </c>
      <c r="D133" s="28" t="s">
        <v>4244</v>
      </c>
      <c r="E133" s="6" t="s">
        <v>231</v>
      </c>
      <c r="F133" s="224" t="s">
        <v>332</v>
      </c>
      <c r="G133" s="224" t="s">
        <v>3882</v>
      </c>
      <c r="H133" s="28" t="s">
        <v>4245</v>
      </c>
      <c r="I133" s="19" t="s">
        <v>3917</v>
      </c>
      <c r="J133" s="28" t="s">
        <v>620</v>
      </c>
      <c r="K133" s="224" t="n">
        <v>72</v>
      </c>
      <c r="L133" s="224" t="n">
        <v>576</v>
      </c>
      <c r="M133" s="224" t="s">
        <v>4246</v>
      </c>
      <c r="N133" s="19" t="s">
        <v>4020</v>
      </c>
      <c r="O133" s="6" t="s">
        <v>620</v>
      </c>
      <c r="P133" s="224" t="s">
        <v>1151</v>
      </c>
      <c r="Q133" s="47" t="n">
        <f aca="false">Spec_Rack!G28</f>
        <v>576</v>
      </c>
      <c r="R133" s="177" t="n">
        <f aca="false">SRC_HW_062</f>
        <v>576</v>
      </c>
      <c r="S133" s="42" t="str">
        <f aca="false">IF(ISNUMBER($AF133),INDEX(IDX_SrcStat,$AF133),"—")</f>
        <v>Active</v>
      </c>
      <c r="T133" s="42" t="n">
        <f aca="false">IF(ISNUMBER($AF133),INDEX(IDX_SrcGrade,$AF133),"—")</f>
        <v>1</v>
      </c>
      <c r="U133" s="42" t="s">
        <v>3919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2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2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4247</v>
      </c>
      <c r="B134" s="224" t="s">
        <v>3880</v>
      </c>
      <c r="C134" s="28" t="s">
        <v>4044</v>
      </c>
      <c r="D134" s="28" t="s">
        <v>4248</v>
      </c>
      <c r="E134" s="6" t="s">
        <v>232</v>
      </c>
      <c r="F134" s="28" t="s">
        <v>104</v>
      </c>
      <c r="G134" s="224" t="s">
        <v>3882</v>
      </c>
      <c r="H134" s="28" t="s">
        <v>4249</v>
      </c>
      <c r="I134" s="19" t="s">
        <v>4250</v>
      </c>
      <c r="J134" s="28" t="s">
        <v>620</v>
      </c>
      <c r="K134" s="226" t="n">
        <v>32</v>
      </c>
      <c r="L134" s="226" t="n">
        <v>144</v>
      </c>
      <c r="M134" s="28" t="s">
        <v>4251</v>
      </c>
      <c r="N134" s="6" t="s">
        <v>4252</v>
      </c>
      <c r="O134" s="6" t="s">
        <v>620</v>
      </c>
      <c r="P134" s="224" t="s">
        <v>3941</v>
      </c>
      <c r="Q134" s="47" t="n">
        <f aca="false">Spec_Rack!C29</f>
        <v>64</v>
      </c>
      <c r="R134" s="177" t="n">
        <f aca="false">SRC_PERF_051</f>
        <v>18</v>
      </c>
      <c r="S134" s="42" t="str">
        <f aca="false">IF(ISNUMBER($AF134),INDEX(IDX_SrcStat,$AF134),"—")</f>
        <v>Active</v>
      </c>
      <c r="T134" s="42" t="n">
        <f aca="false">IF(ISNUMBER($AF134),INDEX(IDX_SrcGrade,$AF134),"—")</f>
        <v>1</v>
      </c>
      <c r="U134" s="42" t="s">
        <v>3886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2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2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4253</v>
      </c>
      <c r="B135" s="224" t="s">
        <v>3880</v>
      </c>
      <c r="C135" s="28" t="s">
        <v>4044</v>
      </c>
      <c r="D135" s="28" t="s">
        <v>4254</v>
      </c>
      <c r="E135" s="6" t="s">
        <v>232</v>
      </c>
      <c r="F135" s="28" t="s">
        <v>104</v>
      </c>
      <c r="G135" s="224" t="s">
        <v>3882</v>
      </c>
      <c r="H135" s="28" t="s">
        <v>4255</v>
      </c>
      <c r="I135" s="19" t="s">
        <v>4256</v>
      </c>
      <c r="J135" s="28" t="s">
        <v>620</v>
      </c>
      <c r="K135" s="226" t="n">
        <v>16</v>
      </c>
      <c r="L135" s="226" t="n">
        <v>72</v>
      </c>
      <c r="M135" s="28" t="s">
        <v>4257</v>
      </c>
      <c r="N135" s="6" t="s">
        <v>4258</v>
      </c>
      <c r="O135" s="6" t="s">
        <v>620</v>
      </c>
      <c r="P135" s="224" t="s">
        <v>3941</v>
      </c>
      <c r="Q135" s="47" t="n">
        <f aca="false">Spec_Rack!D29</f>
        <v>32</v>
      </c>
      <c r="R135" s="177" t="n">
        <f aca="false">SRC_PERF_008</f>
        <v>32</v>
      </c>
      <c r="S135" s="42" t="str">
        <f aca="false">IF(ISNUMBER($AF135),INDEX(IDX_SrcStat,$AF135),"—")</f>
        <v>Active</v>
      </c>
      <c r="T135" s="42" t="n">
        <f aca="false">IF(ISNUMBER($AF135),INDEX(IDX_SrcGrade,$AF135),"—")</f>
        <v>1</v>
      </c>
      <c r="U135" s="42" t="s">
        <v>3886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2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2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4259</v>
      </c>
      <c r="B136" s="224" t="s">
        <v>3880</v>
      </c>
      <c r="C136" s="28" t="s">
        <v>4044</v>
      </c>
      <c r="D136" s="28" t="s">
        <v>4260</v>
      </c>
      <c r="E136" s="6" t="s">
        <v>232</v>
      </c>
      <c r="F136" s="224" t="s">
        <v>332</v>
      </c>
      <c r="G136" s="224" t="s">
        <v>3882</v>
      </c>
      <c r="H136" s="28" t="s">
        <v>4255</v>
      </c>
      <c r="I136" s="19" t="s">
        <v>3917</v>
      </c>
      <c r="J136" s="28" t="s">
        <v>620</v>
      </c>
      <c r="K136" s="224"/>
      <c r="L136" s="224"/>
      <c r="M136" s="28" t="s">
        <v>620</v>
      </c>
      <c r="N136" s="19" t="s">
        <v>4109</v>
      </c>
      <c r="O136" s="6" t="s">
        <v>620</v>
      </c>
      <c r="P136" s="224" t="s">
        <v>3941</v>
      </c>
      <c r="Q136" s="47" t="n">
        <f aca="false">Spec_Rack!E29</f>
        <v>32</v>
      </c>
      <c r="R136" s="177" t="n">
        <f aca="false">SRC_PERF_008</f>
        <v>32</v>
      </c>
      <c r="S136" s="42" t="str">
        <f aca="false">IF(ISNUMBER($AF136),INDEX(IDX_SrcStat,$AF136),"—")</f>
        <v>Active</v>
      </c>
      <c r="T136" s="42" t="n">
        <f aca="false">IF(ISNUMBER($AF136),INDEX(IDX_SrcGrade,$AF136),"—")</f>
        <v>1</v>
      </c>
      <c r="U136" s="42" t="s">
        <v>3919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2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2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4261</v>
      </c>
      <c r="B137" s="224" t="s">
        <v>3880</v>
      </c>
      <c r="C137" s="28" t="s">
        <v>4044</v>
      </c>
      <c r="D137" s="28" t="s">
        <v>4262</v>
      </c>
      <c r="E137" s="6" t="s">
        <v>232</v>
      </c>
      <c r="F137" s="28" t="s">
        <v>104</v>
      </c>
      <c r="G137" s="224" t="s">
        <v>3882</v>
      </c>
      <c r="H137" s="28" t="s">
        <v>4255</v>
      </c>
      <c r="I137" s="19" t="s">
        <v>4256</v>
      </c>
      <c r="J137" s="28" t="s">
        <v>620</v>
      </c>
      <c r="K137" s="226" t="n">
        <v>16</v>
      </c>
      <c r="L137" s="226" t="n">
        <v>72</v>
      </c>
      <c r="M137" s="28" t="s">
        <v>4257</v>
      </c>
      <c r="N137" s="6" t="s">
        <v>4258</v>
      </c>
      <c r="O137" s="6" t="s">
        <v>620</v>
      </c>
      <c r="P137" s="224" t="s">
        <v>3941</v>
      </c>
      <c r="Q137" s="47" t="n">
        <f aca="false">Spec_Rack!F29</f>
        <v>32</v>
      </c>
      <c r="R137" s="177" t="n">
        <f aca="false">SRC_PERF_008</f>
        <v>32</v>
      </c>
      <c r="S137" s="42" t="str">
        <f aca="false">IF(ISNUMBER($AF137),INDEX(IDX_SrcStat,$AF137),"—")</f>
        <v>Active</v>
      </c>
      <c r="T137" s="42" t="n">
        <f aca="false">IF(ISNUMBER($AF137),INDEX(IDX_SrcGrade,$AF137),"—")</f>
        <v>1</v>
      </c>
      <c r="U137" s="42" t="s">
        <v>3886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2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2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4263</v>
      </c>
      <c r="B138" s="224" t="s">
        <v>3880</v>
      </c>
      <c r="C138" s="28" t="s">
        <v>4044</v>
      </c>
      <c r="D138" s="28" t="s">
        <v>4264</v>
      </c>
      <c r="E138" s="6" t="s">
        <v>232</v>
      </c>
      <c r="F138" s="28" t="s">
        <v>100</v>
      </c>
      <c r="G138" s="224" t="s">
        <v>3882</v>
      </c>
      <c r="H138" s="28" t="s">
        <v>620</v>
      </c>
      <c r="I138" s="6" t="s">
        <v>620</v>
      </c>
      <c r="J138" s="28" t="s">
        <v>620</v>
      </c>
      <c r="K138" s="226" t="n">
        <v>32</v>
      </c>
      <c r="L138" s="226" t="n">
        <v>144</v>
      </c>
      <c r="M138" s="28" t="s">
        <v>4251</v>
      </c>
      <c r="N138" s="6" t="s">
        <v>4205</v>
      </c>
      <c r="O138" s="6" t="s">
        <v>620</v>
      </c>
      <c r="P138" s="224" t="s">
        <v>3941</v>
      </c>
      <c r="Q138" s="47" t="n">
        <f aca="false">Spec_Rack!G29</f>
        <v>64</v>
      </c>
      <c r="R138" s="28" t="s">
        <v>620</v>
      </c>
      <c r="S138" s="42" t="str">
        <f aca="false">IF(ISNUMBER($AF138),INDEX(IDX_SrcStat,$AF138),"—")</f>
        <v>—</v>
      </c>
      <c r="T138" s="42" t="str">
        <f aca="false">IF(ISNUMBER($AF138),INDEX(IDX_SrcGrade,$AF138),"—")</f>
        <v>—</v>
      </c>
      <c r="U138" s="42" t="s">
        <v>3886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2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2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4265</v>
      </c>
      <c r="B139" s="224" t="s">
        <v>3880</v>
      </c>
      <c r="C139" s="28" t="s">
        <v>4044</v>
      </c>
      <c r="D139" s="28" t="s">
        <v>4266</v>
      </c>
      <c r="E139" s="19" t="s">
        <v>4267</v>
      </c>
      <c r="F139" s="224" t="s">
        <v>332</v>
      </c>
      <c r="G139" s="224" t="s">
        <v>3882</v>
      </c>
      <c r="H139" s="28" t="s">
        <v>4268</v>
      </c>
      <c r="I139" s="19" t="s">
        <v>3917</v>
      </c>
      <c r="J139" s="28" t="s">
        <v>620</v>
      </c>
      <c r="K139" s="224"/>
      <c r="L139" s="224"/>
      <c r="M139" s="28" t="s">
        <v>620</v>
      </c>
      <c r="N139" s="19" t="s">
        <v>4109</v>
      </c>
      <c r="O139" s="6" t="s">
        <v>620</v>
      </c>
      <c r="P139" s="224" t="s">
        <v>3941</v>
      </c>
      <c r="Q139" s="51" t="n">
        <f aca="false">Spec_Rack!C30</f>
        <v>1</v>
      </c>
      <c r="R139" s="177" t="n">
        <f aca="false">SRC_HW_055</f>
        <v>1</v>
      </c>
      <c r="S139" s="42" t="str">
        <f aca="false">IF(ISNUMBER($AF139),INDEX(IDX_SrcStat,$AF139),"—")</f>
        <v>Active</v>
      </c>
      <c r="T139" s="42" t="n">
        <f aca="false">IF(ISNUMBER($AF139),INDEX(IDX_SrcGrade,$AF139),"—")</f>
        <v>3</v>
      </c>
      <c r="U139" s="42" t="s">
        <v>3919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2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2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4269</v>
      </c>
      <c r="B140" s="224" t="s">
        <v>3880</v>
      </c>
      <c r="C140" s="28" t="s">
        <v>4044</v>
      </c>
      <c r="D140" s="28" t="s">
        <v>3980</v>
      </c>
      <c r="E140" s="19" t="s">
        <v>4267</v>
      </c>
      <c r="F140" s="224" t="s">
        <v>332</v>
      </c>
      <c r="G140" s="224" t="s">
        <v>3882</v>
      </c>
      <c r="H140" s="28" t="s">
        <v>4270</v>
      </c>
      <c r="I140" s="19" t="s">
        <v>3917</v>
      </c>
      <c r="J140" s="28" t="s">
        <v>620</v>
      </c>
      <c r="K140" s="224"/>
      <c r="L140" s="224"/>
      <c r="M140" s="28" t="s">
        <v>620</v>
      </c>
      <c r="N140" s="19" t="s">
        <v>4109</v>
      </c>
      <c r="O140" s="6" t="s">
        <v>620</v>
      </c>
      <c r="P140" s="224" t="s">
        <v>3941</v>
      </c>
      <c r="Q140" s="51" t="n">
        <f aca="false">Spec_Rack!D30</f>
        <v>0.5625</v>
      </c>
      <c r="R140" s="177" t="n">
        <f aca="false">SRC_HW_050</f>
        <v>0.5625</v>
      </c>
      <c r="S140" s="42" t="str">
        <f aca="false">IF(ISNUMBER($AF140),INDEX(IDX_SrcStat,$AF140),"—")</f>
        <v>Active</v>
      </c>
      <c r="T140" s="42" t="n">
        <f aca="false">IF(ISNUMBER($AF140),INDEX(IDX_SrcGrade,$AF140),"—")</f>
        <v>3</v>
      </c>
      <c r="U140" s="42" t="s">
        <v>3919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2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2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4271</v>
      </c>
      <c r="B141" s="224" t="s">
        <v>3880</v>
      </c>
      <c r="C141" s="28" t="s">
        <v>4044</v>
      </c>
      <c r="D141" s="28" t="s">
        <v>3973</v>
      </c>
      <c r="E141" s="19" t="s">
        <v>4267</v>
      </c>
      <c r="F141" s="224" t="s">
        <v>332</v>
      </c>
      <c r="G141" s="224" t="s">
        <v>3882</v>
      </c>
      <c r="H141" s="28" t="s">
        <v>4270</v>
      </c>
      <c r="I141" s="19" t="s">
        <v>3917</v>
      </c>
      <c r="J141" s="28" t="s">
        <v>620</v>
      </c>
      <c r="K141" s="224"/>
      <c r="L141" s="224"/>
      <c r="M141" s="28" t="s">
        <v>620</v>
      </c>
      <c r="N141" s="19" t="s">
        <v>4109</v>
      </c>
      <c r="O141" s="6" t="s">
        <v>620</v>
      </c>
      <c r="P141" s="224" t="s">
        <v>3941</v>
      </c>
      <c r="Q141" s="51" t="n">
        <f aca="false">Spec_Rack!E30</f>
        <v>0.5625</v>
      </c>
      <c r="R141" s="177" t="n">
        <f aca="false">SRC_HW_050</f>
        <v>0.5625</v>
      </c>
      <c r="S141" s="42" t="str">
        <f aca="false">IF(ISNUMBER($AF141),INDEX(IDX_SrcStat,$AF141),"—")</f>
        <v>Active</v>
      </c>
      <c r="T141" s="42" t="n">
        <f aca="false">IF(ISNUMBER($AF141),INDEX(IDX_SrcGrade,$AF141),"—")</f>
        <v>3</v>
      </c>
      <c r="U141" s="42" t="s">
        <v>3919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2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2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4272</v>
      </c>
      <c r="B142" s="224" t="s">
        <v>3880</v>
      </c>
      <c r="C142" s="28" t="s">
        <v>4044</v>
      </c>
      <c r="D142" s="28" t="s">
        <v>3983</v>
      </c>
      <c r="E142" s="19" t="s">
        <v>4267</v>
      </c>
      <c r="F142" s="224" t="s">
        <v>332</v>
      </c>
      <c r="G142" s="224" t="s">
        <v>3882</v>
      </c>
      <c r="H142" s="28" t="s">
        <v>4270</v>
      </c>
      <c r="I142" s="19" t="s">
        <v>3917</v>
      </c>
      <c r="J142" s="28" t="s">
        <v>620</v>
      </c>
      <c r="K142" s="224"/>
      <c r="L142" s="224"/>
      <c r="M142" s="28" t="s">
        <v>620</v>
      </c>
      <c r="N142" s="19" t="s">
        <v>4109</v>
      </c>
      <c r="O142" s="6" t="s">
        <v>620</v>
      </c>
      <c r="P142" s="224" t="s">
        <v>3941</v>
      </c>
      <c r="Q142" s="51" t="n">
        <f aca="false">Spec_Rack!F30</f>
        <v>0.5625</v>
      </c>
      <c r="R142" s="177" t="n">
        <f aca="false">SRC_HW_050</f>
        <v>0.5625</v>
      </c>
      <c r="S142" s="42" t="str">
        <f aca="false">IF(ISNUMBER($AF142),INDEX(IDX_SrcStat,$AF142),"—")</f>
        <v>Active</v>
      </c>
      <c r="T142" s="42" t="n">
        <f aca="false">IF(ISNUMBER($AF142),INDEX(IDX_SrcGrade,$AF142),"—")</f>
        <v>3</v>
      </c>
      <c r="U142" s="42" t="s">
        <v>3919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2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2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4273</v>
      </c>
      <c r="B143" s="224" t="s">
        <v>3880</v>
      </c>
      <c r="C143" s="28" t="s">
        <v>4044</v>
      </c>
      <c r="D143" s="28" t="s">
        <v>4274</v>
      </c>
      <c r="E143" s="19" t="s">
        <v>4267</v>
      </c>
      <c r="F143" s="224" t="s">
        <v>332</v>
      </c>
      <c r="G143" s="224" t="s">
        <v>3882</v>
      </c>
      <c r="H143" s="28" t="s">
        <v>4270</v>
      </c>
      <c r="I143" s="19" t="s">
        <v>3917</v>
      </c>
      <c r="J143" s="28" t="s">
        <v>620</v>
      </c>
      <c r="K143" s="224"/>
      <c r="L143" s="224"/>
      <c r="M143" s="28" t="s">
        <v>620</v>
      </c>
      <c r="N143" s="19" t="s">
        <v>4109</v>
      </c>
      <c r="O143" s="6" t="s">
        <v>620</v>
      </c>
      <c r="P143" s="224" t="s">
        <v>3941</v>
      </c>
      <c r="Q143" s="51" t="n">
        <f aca="false">Spec_Rack!G30</f>
        <v>0.5625</v>
      </c>
      <c r="R143" s="177" t="n">
        <f aca="false">SRC_HW_050</f>
        <v>0.5625</v>
      </c>
      <c r="S143" s="42" t="str">
        <f aca="false">IF(ISNUMBER($AF143),INDEX(IDX_SrcStat,$AF143),"—")</f>
        <v>Active</v>
      </c>
      <c r="T143" s="42" t="n">
        <f aca="false">IF(ISNUMBER($AF143),INDEX(IDX_SrcGrade,$AF143),"—")</f>
        <v>3</v>
      </c>
      <c r="U143" s="42" t="s">
        <v>3919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2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2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4275</v>
      </c>
      <c r="B144" s="224" t="s">
        <v>3880</v>
      </c>
      <c r="C144" s="28" t="s">
        <v>4044</v>
      </c>
      <c r="D144" s="28" t="s">
        <v>4276</v>
      </c>
      <c r="E144" s="19" t="s">
        <v>4277</v>
      </c>
      <c r="F144" s="28" t="s">
        <v>100</v>
      </c>
      <c r="G144" s="224" t="s">
        <v>3882</v>
      </c>
      <c r="H144" s="28" t="s">
        <v>620</v>
      </c>
      <c r="I144" s="6" t="s">
        <v>620</v>
      </c>
      <c r="J144" s="28" t="s">
        <v>620</v>
      </c>
      <c r="K144" s="226" t="n">
        <v>1</v>
      </c>
      <c r="L144" s="226" t="n">
        <v>2</v>
      </c>
      <c r="M144" s="28" t="s">
        <v>4278</v>
      </c>
      <c r="N144" s="19" t="s">
        <v>4279</v>
      </c>
      <c r="O144" s="6" t="s">
        <v>4280</v>
      </c>
      <c r="P144" s="224" t="s">
        <v>3941</v>
      </c>
      <c r="Q144" s="185" t="n">
        <f aca="false">Spec_Rack!C31</f>
        <v>1</v>
      </c>
      <c r="R144" s="28" t="s">
        <v>620</v>
      </c>
      <c r="S144" s="42" t="str">
        <f aca="false">IF(ISNUMBER($AF144),INDEX(IDX_SrcStat,$AF144),"—")</f>
        <v>—</v>
      </c>
      <c r="T144" s="42" t="str">
        <f aca="false">IF(ISNUMBER($AF144),INDEX(IDX_SrcGrade,$AF144),"—")</f>
        <v>—</v>
      </c>
      <c r="U144" s="42" t="s">
        <v>3886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2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2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4281</v>
      </c>
      <c r="B145" s="224" t="s">
        <v>3880</v>
      </c>
      <c r="C145" s="28" t="s">
        <v>4044</v>
      </c>
      <c r="D145" s="28" t="s">
        <v>3989</v>
      </c>
      <c r="E145" s="19" t="s">
        <v>4277</v>
      </c>
      <c r="F145" s="28" t="s">
        <v>100</v>
      </c>
      <c r="G145" s="224" t="s">
        <v>3882</v>
      </c>
      <c r="H145" s="28" t="s">
        <v>620</v>
      </c>
      <c r="I145" s="6" t="s">
        <v>620</v>
      </c>
      <c r="J145" s="28" t="s">
        <v>620</v>
      </c>
      <c r="K145" s="226" t="n">
        <v>1</v>
      </c>
      <c r="L145" s="226" t="n">
        <v>2</v>
      </c>
      <c r="M145" s="28" t="s">
        <v>4278</v>
      </c>
      <c r="N145" s="19" t="s">
        <v>4279</v>
      </c>
      <c r="O145" s="6" t="s">
        <v>4280</v>
      </c>
      <c r="P145" s="224" t="s">
        <v>3941</v>
      </c>
      <c r="Q145" s="185" t="n">
        <f aca="false">Spec_Rack!D31</f>
        <v>1</v>
      </c>
      <c r="R145" s="28" t="s">
        <v>620</v>
      </c>
      <c r="S145" s="42" t="str">
        <f aca="false">IF(ISNUMBER($AF145),INDEX(IDX_SrcStat,$AF145),"—")</f>
        <v>—</v>
      </c>
      <c r="T145" s="42" t="str">
        <f aca="false">IF(ISNUMBER($AF145),INDEX(IDX_SrcGrade,$AF145),"—")</f>
        <v>—</v>
      </c>
      <c r="U145" s="42" t="s">
        <v>3886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2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2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4282</v>
      </c>
      <c r="B146" s="224" t="s">
        <v>3880</v>
      </c>
      <c r="C146" s="28" t="s">
        <v>4044</v>
      </c>
      <c r="D146" s="28" t="s">
        <v>3986</v>
      </c>
      <c r="E146" s="19" t="s">
        <v>4277</v>
      </c>
      <c r="F146" s="28" t="s">
        <v>100</v>
      </c>
      <c r="G146" s="224" t="s">
        <v>3882</v>
      </c>
      <c r="H146" s="28" t="s">
        <v>620</v>
      </c>
      <c r="I146" s="6" t="s">
        <v>620</v>
      </c>
      <c r="J146" s="28" t="s">
        <v>620</v>
      </c>
      <c r="K146" s="226" t="n">
        <v>1</v>
      </c>
      <c r="L146" s="226" t="n">
        <v>2</v>
      </c>
      <c r="M146" s="28" t="s">
        <v>4278</v>
      </c>
      <c r="N146" s="19" t="s">
        <v>4279</v>
      </c>
      <c r="O146" s="6" t="s">
        <v>4280</v>
      </c>
      <c r="P146" s="224" t="s">
        <v>3941</v>
      </c>
      <c r="Q146" s="185" t="n">
        <f aca="false">Spec_Rack!E31</f>
        <v>1</v>
      </c>
      <c r="R146" s="28" t="s">
        <v>620</v>
      </c>
      <c r="S146" s="42" t="str">
        <f aca="false">IF(ISNUMBER($AF146),INDEX(IDX_SrcStat,$AF146),"—")</f>
        <v>—</v>
      </c>
      <c r="T146" s="42" t="str">
        <f aca="false">IF(ISNUMBER($AF146),INDEX(IDX_SrcGrade,$AF146),"—")</f>
        <v>—</v>
      </c>
      <c r="U146" s="42" t="s">
        <v>3886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2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2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4283</v>
      </c>
      <c r="B147" s="224" t="s">
        <v>3880</v>
      </c>
      <c r="C147" s="28" t="s">
        <v>4044</v>
      </c>
      <c r="D147" s="28" t="s">
        <v>3991</v>
      </c>
      <c r="E147" s="19" t="s">
        <v>4277</v>
      </c>
      <c r="F147" s="28" t="s">
        <v>100</v>
      </c>
      <c r="G147" s="224" t="s">
        <v>3882</v>
      </c>
      <c r="H147" s="28" t="s">
        <v>620</v>
      </c>
      <c r="I147" s="6" t="s">
        <v>620</v>
      </c>
      <c r="J147" s="28" t="s">
        <v>620</v>
      </c>
      <c r="K147" s="226" t="n">
        <v>1</v>
      </c>
      <c r="L147" s="226" t="n">
        <v>2</v>
      </c>
      <c r="M147" s="28" t="s">
        <v>4278</v>
      </c>
      <c r="N147" s="19" t="s">
        <v>4279</v>
      </c>
      <c r="O147" s="6" t="s">
        <v>4280</v>
      </c>
      <c r="P147" s="224" t="s">
        <v>3941</v>
      </c>
      <c r="Q147" s="185" t="n">
        <f aca="false">Spec_Rack!F31</f>
        <v>1</v>
      </c>
      <c r="R147" s="28" t="s">
        <v>620</v>
      </c>
      <c r="S147" s="42" t="str">
        <f aca="false">IF(ISNUMBER($AF147),INDEX(IDX_SrcStat,$AF147),"—")</f>
        <v>—</v>
      </c>
      <c r="T147" s="42" t="str">
        <f aca="false">IF(ISNUMBER($AF147),INDEX(IDX_SrcGrade,$AF147),"—")</f>
        <v>—</v>
      </c>
      <c r="U147" s="42" t="s">
        <v>3886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2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2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4284</v>
      </c>
      <c r="B148" s="224" t="s">
        <v>3880</v>
      </c>
      <c r="C148" s="28" t="s">
        <v>4044</v>
      </c>
      <c r="D148" s="28" t="s">
        <v>4285</v>
      </c>
      <c r="E148" s="19" t="s">
        <v>4277</v>
      </c>
      <c r="F148" s="28" t="s">
        <v>100</v>
      </c>
      <c r="G148" s="224" t="s">
        <v>3882</v>
      </c>
      <c r="H148" s="28" t="s">
        <v>620</v>
      </c>
      <c r="I148" s="6" t="s">
        <v>620</v>
      </c>
      <c r="J148" s="28" t="s">
        <v>620</v>
      </c>
      <c r="K148" s="226" t="n">
        <v>1</v>
      </c>
      <c r="L148" s="226" t="n">
        <v>2</v>
      </c>
      <c r="M148" s="28" t="s">
        <v>4278</v>
      </c>
      <c r="N148" s="19" t="s">
        <v>4279</v>
      </c>
      <c r="O148" s="6" t="s">
        <v>4280</v>
      </c>
      <c r="P148" s="224" t="s">
        <v>3941</v>
      </c>
      <c r="Q148" s="185" t="n">
        <f aca="false">Spec_Rack!G31</f>
        <v>1</v>
      </c>
      <c r="R148" s="28" t="s">
        <v>620</v>
      </c>
      <c r="S148" s="42" t="str">
        <f aca="false">IF(ISNUMBER($AF148),INDEX(IDX_SrcStat,$AF148),"—")</f>
        <v>—</v>
      </c>
      <c r="T148" s="42" t="str">
        <f aca="false">IF(ISNUMBER($AF148),INDEX(IDX_SrcGrade,$AF148),"—")</f>
        <v>—</v>
      </c>
      <c r="U148" s="42" t="s">
        <v>3886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2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2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4286</v>
      </c>
      <c r="B149" s="224" t="s">
        <v>3880</v>
      </c>
      <c r="C149" s="28" t="s">
        <v>4044</v>
      </c>
      <c r="D149" s="28" t="s">
        <v>4287</v>
      </c>
      <c r="E149" s="19" t="s">
        <v>4288</v>
      </c>
      <c r="F149" s="28" t="s">
        <v>100</v>
      </c>
      <c r="G149" s="224" t="s">
        <v>3882</v>
      </c>
      <c r="H149" s="28" t="s">
        <v>620</v>
      </c>
      <c r="I149" s="6" t="s">
        <v>620</v>
      </c>
      <c r="J149" s="28" t="s">
        <v>620</v>
      </c>
      <c r="K149" s="226" t="n">
        <v>4</v>
      </c>
      <c r="L149" s="226" t="n">
        <v>16</v>
      </c>
      <c r="M149" s="28" t="s">
        <v>4289</v>
      </c>
      <c r="N149" s="6" t="s">
        <v>4290</v>
      </c>
      <c r="O149" s="6" t="s">
        <v>620</v>
      </c>
      <c r="P149" s="224" t="s">
        <v>3885</v>
      </c>
      <c r="Q149" s="47" t="n">
        <f aca="false">Spec_Rack!C32</f>
        <v>8</v>
      </c>
      <c r="R149" s="28" t="s">
        <v>620</v>
      </c>
      <c r="S149" s="42" t="str">
        <f aca="false">IF(ISNUMBER($AF149),INDEX(IDX_SrcStat,$AF149),"—")</f>
        <v>—</v>
      </c>
      <c r="T149" s="42" t="str">
        <f aca="false">IF(ISNUMBER($AF149),INDEX(IDX_SrcGrade,$AF149),"—")</f>
        <v>—</v>
      </c>
      <c r="U149" s="42" t="s">
        <v>3886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2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2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4291</v>
      </c>
      <c r="B150" s="224" t="s">
        <v>3880</v>
      </c>
      <c r="C150" s="28" t="s">
        <v>4044</v>
      </c>
      <c r="D150" s="28" t="s">
        <v>3995</v>
      </c>
      <c r="E150" s="19" t="s">
        <v>4288</v>
      </c>
      <c r="F150" s="28" t="s">
        <v>104</v>
      </c>
      <c r="G150" s="224" t="s">
        <v>3882</v>
      </c>
      <c r="H150" s="28" t="s">
        <v>4292</v>
      </c>
      <c r="I150" s="19" t="s">
        <v>4293</v>
      </c>
      <c r="J150" s="28" t="s">
        <v>620</v>
      </c>
      <c r="K150" s="226" t="n">
        <v>2</v>
      </c>
      <c r="L150" s="226" t="n">
        <v>8</v>
      </c>
      <c r="M150" s="28" t="s">
        <v>4294</v>
      </c>
      <c r="N150" s="6" t="s">
        <v>4295</v>
      </c>
      <c r="O150" s="6" t="s">
        <v>620</v>
      </c>
      <c r="P150" s="224" t="s">
        <v>3885</v>
      </c>
      <c r="Q150" s="47" t="n">
        <f aca="false">Spec_Rack!D32</f>
        <v>4</v>
      </c>
      <c r="R150" s="177" t="n">
        <f aca="false">SRC_PERF_007</f>
        <v>4</v>
      </c>
      <c r="S150" s="42" t="str">
        <f aca="false">IF(ISNUMBER($AF150),INDEX(IDX_SrcStat,$AF150),"—")</f>
        <v>Active</v>
      </c>
      <c r="T150" s="42" t="n">
        <f aca="false">IF(ISNUMBER($AF150),INDEX(IDX_SrcGrade,$AF150),"—")</f>
        <v>1</v>
      </c>
      <c r="U150" s="42" t="s">
        <v>3886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2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2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4296</v>
      </c>
      <c r="B151" s="224" t="s">
        <v>3880</v>
      </c>
      <c r="C151" s="28" t="s">
        <v>4044</v>
      </c>
      <c r="D151" s="28" t="s">
        <v>3993</v>
      </c>
      <c r="E151" s="19" t="s">
        <v>4288</v>
      </c>
      <c r="F151" s="224" t="s">
        <v>332</v>
      </c>
      <c r="G151" s="224" t="s">
        <v>3882</v>
      </c>
      <c r="H151" s="28" t="s">
        <v>4292</v>
      </c>
      <c r="I151" s="19" t="s">
        <v>3917</v>
      </c>
      <c r="J151" s="28" t="s">
        <v>620</v>
      </c>
      <c r="K151" s="224"/>
      <c r="L151" s="224"/>
      <c r="M151" s="28" t="s">
        <v>620</v>
      </c>
      <c r="N151" s="19" t="s">
        <v>4020</v>
      </c>
      <c r="O151" s="6" t="s">
        <v>620</v>
      </c>
      <c r="P151" s="224" t="s">
        <v>3885</v>
      </c>
      <c r="Q151" s="47" t="n">
        <f aca="false">Spec_Rack!E32</f>
        <v>4</v>
      </c>
      <c r="R151" s="177" t="n">
        <f aca="false">SRC_PERF_007</f>
        <v>4</v>
      </c>
      <c r="S151" s="42" t="str">
        <f aca="false">IF(ISNUMBER($AF151),INDEX(IDX_SrcStat,$AF151),"—")</f>
        <v>Active</v>
      </c>
      <c r="T151" s="42" t="n">
        <f aca="false">IF(ISNUMBER($AF151),INDEX(IDX_SrcGrade,$AF151),"—")</f>
        <v>1</v>
      </c>
      <c r="U151" s="42" t="s">
        <v>3919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2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2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4297</v>
      </c>
      <c r="B152" s="224" t="s">
        <v>3880</v>
      </c>
      <c r="C152" s="28" t="s">
        <v>4044</v>
      </c>
      <c r="D152" s="28" t="s">
        <v>3997</v>
      </c>
      <c r="E152" s="19" t="s">
        <v>4288</v>
      </c>
      <c r="F152" s="28" t="s">
        <v>104</v>
      </c>
      <c r="G152" s="224" t="s">
        <v>3882</v>
      </c>
      <c r="H152" s="28" t="s">
        <v>4292</v>
      </c>
      <c r="I152" s="19" t="s">
        <v>4293</v>
      </c>
      <c r="J152" s="28" t="s">
        <v>620</v>
      </c>
      <c r="K152" s="226" t="n">
        <v>2</v>
      </c>
      <c r="L152" s="226" t="n">
        <v>8</v>
      </c>
      <c r="M152" s="28" t="s">
        <v>4294</v>
      </c>
      <c r="N152" s="6" t="s">
        <v>4295</v>
      </c>
      <c r="O152" s="6" t="s">
        <v>620</v>
      </c>
      <c r="P152" s="224" t="s">
        <v>3885</v>
      </c>
      <c r="Q152" s="47" t="n">
        <f aca="false">Spec_Rack!F32</f>
        <v>4</v>
      </c>
      <c r="R152" s="177" t="n">
        <f aca="false">SRC_PERF_007</f>
        <v>4</v>
      </c>
      <c r="S152" s="42" t="str">
        <f aca="false">IF(ISNUMBER($AF152),INDEX(IDX_SrcStat,$AF152),"—")</f>
        <v>Active</v>
      </c>
      <c r="T152" s="42" t="n">
        <f aca="false">IF(ISNUMBER($AF152),INDEX(IDX_SrcGrade,$AF152),"—")</f>
        <v>1</v>
      </c>
      <c r="U152" s="42" t="s">
        <v>3886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2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2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4298</v>
      </c>
      <c r="B153" s="224" t="s">
        <v>3880</v>
      </c>
      <c r="C153" s="28" t="s">
        <v>4044</v>
      </c>
      <c r="D153" s="28" t="s">
        <v>4299</v>
      </c>
      <c r="E153" s="19" t="s">
        <v>4288</v>
      </c>
      <c r="F153" s="28" t="s">
        <v>100</v>
      </c>
      <c r="G153" s="224" t="s">
        <v>3882</v>
      </c>
      <c r="H153" s="28" t="s">
        <v>620</v>
      </c>
      <c r="I153" s="6" t="s">
        <v>620</v>
      </c>
      <c r="J153" s="28" t="s">
        <v>620</v>
      </c>
      <c r="K153" s="226" t="n">
        <v>4</v>
      </c>
      <c r="L153" s="226" t="n">
        <v>16</v>
      </c>
      <c r="M153" s="28" t="s">
        <v>4289</v>
      </c>
      <c r="N153" s="6" t="s">
        <v>4300</v>
      </c>
      <c r="O153" s="6" t="s">
        <v>620</v>
      </c>
      <c r="P153" s="224" t="s">
        <v>3885</v>
      </c>
      <c r="Q153" s="47" t="n">
        <f aca="false">Spec_Rack!G32</f>
        <v>8</v>
      </c>
      <c r="R153" s="28" t="s">
        <v>620</v>
      </c>
      <c r="S153" s="42" t="str">
        <f aca="false">IF(ISNUMBER($AF153),INDEX(IDX_SrcStat,$AF153),"—")</f>
        <v>—</v>
      </c>
      <c r="T153" s="42" t="str">
        <f aca="false">IF(ISNUMBER($AF153),INDEX(IDX_SrcGrade,$AF153),"—")</f>
        <v>—</v>
      </c>
      <c r="U153" s="42" t="s">
        <v>3886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2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2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4301</v>
      </c>
      <c r="B154" s="224" t="s">
        <v>3880</v>
      </c>
      <c r="C154" s="28" t="s">
        <v>4044</v>
      </c>
      <c r="D154" s="28" t="s">
        <v>4302</v>
      </c>
      <c r="E154" s="6" t="s">
        <v>240</v>
      </c>
      <c r="F154" s="224" t="s">
        <v>332</v>
      </c>
      <c r="G154" s="224" t="s">
        <v>3882</v>
      </c>
      <c r="H154" s="28" t="s">
        <v>4303</v>
      </c>
      <c r="I154" s="19" t="s">
        <v>3917</v>
      </c>
      <c r="J154" s="28" t="s">
        <v>620</v>
      </c>
      <c r="K154" s="224"/>
      <c r="L154" s="224"/>
      <c r="M154" s="28" t="s">
        <v>620</v>
      </c>
      <c r="N154" s="19" t="s">
        <v>4020</v>
      </c>
      <c r="O154" s="6" t="s">
        <v>620</v>
      </c>
      <c r="P154" s="224" t="s">
        <v>3885</v>
      </c>
      <c r="Q154" s="47" t="n">
        <f aca="false">Spec_Rack!C33</f>
        <v>700</v>
      </c>
      <c r="R154" s="177" t="n">
        <f aca="false">SRC_HW_056</f>
        <v>700</v>
      </c>
      <c r="S154" s="42" t="str">
        <f aca="false">IF(ISNUMBER($AF154),INDEX(IDX_SrcStat,$AF154),"—")</f>
        <v>Active</v>
      </c>
      <c r="T154" s="42" t="n">
        <f aca="false">IF(ISNUMBER($AF154),INDEX(IDX_SrcGrade,$AF154),"—")</f>
        <v>3</v>
      </c>
      <c r="U154" s="42" t="s">
        <v>3919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2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2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4304</v>
      </c>
      <c r="B155" s="224" t="s">
        <v>3880</v>
      </c>
      <c r="C155" s="28" t="s">
        <v>4044</v>
      </c>
      <c r="D155" s="28" t="s">
        <v>4001</v>
      </c>
      <c r="E155" s="6" t="s">
        <v>240</v>
      </c>
      <c r="F155" s="224" t="s">
        <v>332</v>
      </c>
      <c r="G155" s="224" t="s">
        <v>3882</v>
      </c>
      <c r="H155" s="28" t="s">
        <v>4305</v>
      </c>
      <c r="I155" s="19" t="s">
        <v>3917</v>
      </c>
      <c r="J155" s="28" t="s">
        <v>620</v>
      </c>
      <c r="K155" s="224"/>
      <c r="L155" s="224"/>
      <c r="M155" s="28" t="s">
        <v>620</v>
      </c>
      <c r="N155" s="19" t="s">
        <v>4020</v>
      </c>
      <c r="O155" s="6" t="s">
        <v>620</v>
      </c>
      <c r="P155" s="224" t="s">
        <v>3885</v>
      </c>
      <c r="Q155" s="47" t="n">
        <f aca="false">Spec_Rack!D33</f>
        <v>1200</v>
      </c>
      <c r="R155" s="177" t="n">
        <f aca="false">SRC_HW_057</f>
        <v>1200</v>
      </c>
      <c r="S155" s="42" t="str">
        <f aca="false">IF(ISNUMBER($AF155),INDEX(IDX_SrcStat,$AF155),"—")</f>
        <v>Active</v>
      </c>
      <c r="T155" s="42" t="n">
        <f aca="false">IF(ISNUMBER($AF155),INDEX(IDX_SrcGrade,$AF155),"—")</f>
        <v>3</v>
      </c>
      <c r="U155" s="42" t="s">
        <v>3919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2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2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4306</v>
      </c>
      <c r="B156" s="224" t="s">
        <v>3880</v>
      </c>
      <c r="C156" s="28" t="s">
        <v>4044</v>
      </c>
      <c r="D156" s="28" t="s">
        <v>3999</v>
      </c>
      <c r="E156" s="6" t="s">
        <v>240</v>
      </c>
      <c r="F156" s="224" t="s">
        <v>332</v>
      </c>
      <c r="G156" s="224" t="s">
        <v>3882</v>
      </c>
      <c r="H156" s="28" t="s">
        <v>4307</v>
      </c>
      <c r="I156" s="19" t="s">
        <v>3917</v>
      </c>
      <c r="J156" s="28" t="s">
        <v>620</v>
      </c>
      <c r="K156" s="224"/>
      <c r="L156" s="224"/>
      <c r="M156" s="28" t="s">
        <v>620</v>
      </c>
      <c r="N156" s="19" t="s">
        <v>4020</v>
      </c>
      <c r="O156" s="6" t="s">
        <v>620</v>
      </c>
      <c r="P156" s="224" t="s">
        <v>3885</v>
      </c>
      <c r="Q156" s="47" t="n">
        <f aca="false">Spec_Rack!E33</f>
        <v>1400</v>
      </c>
      <c r="R156" s="177" t="n">
        <f aca="false">SRC_HW_058</f>
        <v>1400</v>
      </c>
      <c r="S156" s="42" t="str">
        <f aca="false">IF(ISNUMBER($AF156),INDEX(IDX_SrcStat,$AF156),"—")</f>
        <v>Active</v>
      </c>
      <c r="T156" s="42" t="n">
        <f aca="false">IF(ISNUMBER($AF156),INDEX(IDX_SrcGrade,$AF156),"—")</f>
        <v>3</v>
      </c>
      <c r="U156" s="42" t="s">
        <v>3919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2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2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4308</v>
      </c>
      <c r="B157" s="224" t="s">
        <v>3880</v>
      </c>
      <c r="C157" s="28" t="s">
        <v>4044</v>
      </c>
      <c r="D157" s="28" t="s">
        <v>4003</v>
      </c>
      <c r="E157" s="6" t="s">
        <v>240</v>
      </c>
      <c r="F157" s="224" t="s">
        <v>332</v>
      </c>
      <c r="G157" s="224" t="s">
        <v>3882</v>
      </c>
      <c r="H157" s="28" t="s">
        <v>4309</v>
      </c>
      <c r="I157" s="19" t="s">
        <v>4225</v>
      </c>
      <c r="J157" s="28" t="s">
        <v>620</v>
      </c>
      <c r="K157" s="224"/>
      <c r="L157" s="224"/>
      <c r="M157" s="28" t="s">
        <v>620</v>
      </c>
      <c r="N157" s="19" t="s">
        <v>4020</v>
      </c>
      <c r="O157" s="6" t="s">
        <v>620</v>
      </c>
      <c r="P157" s="224" t="s">
        <v>3885</v>
      </c>
      <c r="Q157" s="47" t="n">
        <f aca="false">Spec_Rack!F33</f>
        <v>1800</v>
      </c>
      <c r="R157" s="177" t="n">
        <f aca="false">SRC_HW_046</f>
        <v>1.8</v>
      </c>
      <c r="S157" s="42" t="str">
        <f aca="false">IF(ISNUMBER($AF157),INDEX(IDX_SrcStat,$AF157),"—")</f>
        <v>Active</v>
      </c>
      <c r="T157" s="42" t="n">
        <f aca="false">IF(ISNUMBER($AF157),INDEX(IDX_SrcGrade,$AF157),"—")</f>
        <v>3</v>
      </c>
      <c r="U157" s="42" t="s">
        <v>3919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2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2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4310</v>
      </c>
      <c r="B158" s="224" t="s">
        <v>3880</v>
      </c>
      <c r="C158" s="28" t="s">
        <v>4044</v>
      </c>
      <c r="D158" s="28" t="s">
        <v>4311</v>
      </c>
      <c r="E158" s="6" t="s">
        <v>240</v>
      </c>
      <c r="F158" s="28" t="s">
        <v>100</v>
      </c>
      <c r="G158" s="224" t="s">
        <v>85</v>
      </c>
      <c r="H158" s="28" t="s">
        <v>620</v>
      </c>
      <c r="I158" s="6" t="s">
        <v>620</v>
      </c>
      <c r="J158" s="28" t="s">
        <v>620</v>
      </c>
      <c r="K158" s="177" t="n">
        <f aca="false">Spec_Rack!G33*0.7</f>
        <v>2520</v>
      </c>
      <c r="L158" s="177" t="n">
        <f aca="false">Spec_Rack!G33*1.3</f>
        <v>4680</v>
      </c>
      <c r="M158" s="28" t="s">
        <v>4172</v>
      </c>
      <c r="N158" s="6" t="s">
        <v>4300</v>
      </c>
      <c r="O158" s="6" t="s">
        <v>620</v>
      </c>
      <c r="P158" s="224" t="s">
        <v>3885</v>
      </c>
      <c r="Q158" s="47" t="n">
        <f aca="false">Spec_Rack!G33</f>
        <v>3600</v>
      </c>
      <c r="R158" s="28" t="s">
        <v>620</v>
      </c>
      <c r="S158" s="42" t="str">
        <f aca="false">IF(ISNUMBER($AF158),INDEX(IDX_SrcStat,$AF158),"—")</f>
        <v>—</v>
      </c>
      <c r="T158" s="42" t="str">
        <f aca="false">IF(ISNUMBER($AF158),INDEX(IDX_SrcGrade,$AF158),"—")</f>
        <v>—</v>
      </c>
      <c r="U158" s="42" t="s">
        <v>3886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2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2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4312</v>
      </c>
      <c r="B159" s="224" t="s">
        <v>3880</v>
      </c>
      <c r="C159" s="28" t="s">
        <v>4044</v>
      </c>
      <c r="D159" s="28" t="s">
        <v>4313</v>
      </c>
      <c r="E159" s="6" t="s">
        <v>242</v>
      </c>
      <c r="F159" s="28" t="s">
        <v>104</v>
      </c>
      <c r="G159" s="224" t="s">
        <v>3882</v>
      </c>
      <c r="H159" s="28" t="s">
        <v>4314</v>
      </c>
      <c r="I159" s="19" t="s">
        <v>4315</v>
      </c>
      <c r="J159" s="28" t="s">
        <v>620</v>
      </c>
      <c r="K159" s="177" t="n">
        <f aca="false">Spec_Rack!C34*0.7</f>
        <v>21.7</v>
      </c>
      <c r="L159" s="177" t="n">
        <f aca="false">Spec_Rack!C34*1.3</f>
        <v>40.3</v>
      </c>
      <c r="M159" s="28" t="s">
        <v>4316</v>
      </c>
      <c r="N159" s="225" t="str">
        <f aca="false">Spec_Rack!$H$34</f>
        <v>Analogy：HBM3 約 3.9 pJ/bit、HBM3e 約 3、HBM4 約 2.5；區間 ±30%（S29）</v>
      </c>
      <c r="O159" s="6" t="s">
        <v>620</v>
      </c>
      <c r="P159" s="224" t="s">
        <v>3885</v>
      </c>
      <c r="Q159" s="47" t="n">
        <f aca="false">Spec_Rack!C34</f>
        <v>31</v>
      </c>
      <c r="R159" s="177" t="n">
        <f aca="false">SRC_HW_032</f>
        <v>3.9</v>
      </c>
      <c r="S159" s="42" t="str">
        <f aca="false">IF(ISNUMBER($AF159),INDEX(IDX_SrcStat,$AF159),"—")</f>
        <v>Active</v>
      </c>
      <c r="T159" s="42" t="n">
        <f aca="false">IF(ISNUMBER($AF159),INDEX(IDX_SrcGrade,$AF159),"—")</f>
        <v>3</v>
      </c>
      <c r="U159" s="42" t="s">
        <v>3886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2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2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4317</v>
      </c>
      <c r="B160" s="224" t="s">
        <v>3880</v>
      </c>
      <c r="C160" s="28" t="s">
        <v>4044</v>
      </c>
      <c r="D160" s="28" t="s">
        <v>4007</v>
      </c>
      <c r="E160" s="6" t="s">
        <v>242</v>
      </c>
      <c r="F160" s="28" t="s">
        <v>104</v>
      </c>
      <c r="G160" s="224" t="s">
        <v>3882</v>
      </c>
      <c r="H160" s="28" t="s">
        <v>4318</v>
      </c>
      <c r="I160" s="19" t="s">
        <v>4315</v>
      </c>
      <c r="J160" s="28" t="s">
        <v>620</v>
      </c>
      <c r="K160" s="177" t="n">
        <f aca="false">Spec_Rack!D34*0.7</f>
        <v>17.5</v>
      </c>
      <c r="L160" s="177" t="n">
        <f aca="false">Spec_Rack!D34*1.3</f>
        <v>32.5</v>
      </c>
      <c r="M160" s="28" t="s">
        <v>4316</v>
      </c>
      <c r="N160" s="225" t="str">
        <f aca="false">Spec_Rack!$H$34</f>
        <v>Analogy：HBM3 約 3.9 pJ/bit、HBM3e 約 3、HBM4 約 2.5；區間 ±30%（S29）</v>
      </c>
      <c r="O160" s="6" t="s">
        <v>620</v>
      </c>
      <c r="P160" s="224" t="s">
        <v>3885</v>
      </c>
      <c r="Q160" s="47" t="n">
        <f aca="false">Spec_Rack!D34</f>
        <v>25</v>
      </c>
      <c r="R160" s="177" t="n">
        <f aca="false">SRC_HW_033</f>
        <v>3</v>
      </c>
      <c r="S160" s="42" t="str">
        <f aca="false">IF(ISNUMBER($AF160),INDEX(IDX_SrcStat,$AF160),"—")</f>
        <v>Active</v>
      </c>
      <c r="T160" s="42" t="n">
        <f aca="false">IF(ISNUMBER($AF160),INDEX(IDX_SrcGrade,$AF160),"—")</f>
        <v>3</v>
      </c>
      <c r="U160" s="42" t="s">
        <v>3886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2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2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4319</v>
      </c>
      <c r="B161" s="224" t="s">
        <v>3880</v>
      </c>
      <c r="C161" s="28" t="s">
        <v>4044</v>
      </c>
      <c r="D161" s="28" t="s">
        <v>4005</v>
      </c>
      <c r="E161" s="6" t="s">
        <v>242</v>
      </c>
      <c r="F161" s="28" t="s">
        <v>104</v>
      </c>
      <c r="G161" s="224" t="s">
        <v>3882</v>
      </c>
      <c r="H161" s="28" t="s">
        <v>4318</v>
      </c>
      <c r="I161" s="19" t="s">
        <v>4315</v>
      </c>
      <c r="J161" s="28" t="s">
        <v>620</v>
      </c>
      <c r="K161" s="177" t="n">
        <f aca="false">Spec_Rack!E34*0.7</f>
        <v>17.5</v>
      </c>
      <c r="L161" s="177" t="n">
        <f aca="false">Spec_Rack!E34*1.3</f>
        <v>32.5</v>
      </c>
      <c r="M161" s="28" t="s">
        <v>4316</v>
      </c>
      <c r="N161" s="225" t="str">
        <f aca="false">Spec_Rack!$H$34</f>
        <v>Analogy：HBM3 約 3.9 pJ/bit、HBM3e 約 3、HBM4 約 2.5；區間 ±30%（S29）</v>
      </c>
      <c r="O161" s="6" t="s">
        <v>620</v>
      </c>
      <c r="P161" s="224" t="s">
        <v>3885</v>
      </c>
      <c r="Q161" s="47" t="n">
        <f aca="false">Spec_Rack!E34</f>
        <v>25</v>
      </c>
      <c r="R161" s="177" t="n">
        <f aca="false">SRC_HW_033</f>
        <v>3</v>
      </c>
      <c r="S161" s="42" t="str">
        <f aca="false">IF(ISNUMBER($AF161),INDEX(IDX_SrcStat,$AF161),"—")</f>
        <v>Active</v>
      </c>
      <c r="T161" s="42" t="n">
        <f aca="false">IF(ISNUMBER($AF161),INDEX(IDX_SrcGrade,$AF161),"—")</f>
        <v>3</v>
      </c>
      <c r="U161" s="42" t="s">
        <v>3886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2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2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4320</v>
      </c>
      <c r="B162" s="224" t="s">
        <v>3880</v>
      </c>
      <c r="C162" s="28" t="s">
        <v>4044</v>
      </c>
      <c r="D162" s="28" t="s">
        <v>4009</v>
      </c>
      <c r="E162" s="6" t="s">
        <v>242</v>
      </c>
      <c r="F162" s="224" t="s">
        <v>332</v>
      </c>
      <c r="G162" s="224" t="s">
        <v>3882</v>
      </c>
      <c r="H162" s="28" t="s">
        <v>4321</v>
      </c>
      <c r="I162" s="19" t="s">
        <v>4225</v>
      </c>
      <c r="J162" s="28" t="s">
        <v>620</v>
      </c>
      <c r="K162" s="224"/>
      <c r="L162" s="224"/>
      <c r="M162" s="28" t="s">
        <v>620</v>
      </c>
      <c r="N162" s="19" t="s">
        <v>4020</v>
      </c>
      <c r="O162" s="6" t="s">
        <v>620</v>
      </c>
      <c r="P162" s="224" t="s">
        <v>3885</v>
      </c>
      <c r="Q162" s="47" t="n">
        <f aca="false">Spec_Rack!F34</f>
        <v>20</v>
      </c>
      <c r="R162" s="177" t="n">
        <f aca="false">SRC_HW_034</f>
        <v>2.5</v>
      </c>
      <c r="S162" s="42" t="str">
        <f aca="false">IF(ISNUMBER($AF162),INDEX(IDX_SrcStat,$AF162),"—")</f>
        <v>Active</v>
      </c>
      <c r="T162" s="42" t="n">
        <f aca="false">IF(ISNUMBER($AF162),INDEX(IDX_SrcGrade,$AF162),"—")</f>
        <v>3</v>
      </c>
      <c r="U162" s="42" t="s">
        <v>3919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2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2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4322</v>
      </c>
      <c r="B163" s="224" t="s">
        <v>3880</v>
      </c>
      <c r="C163" s="28" t="s">
        <v>4044</v>
      </c>
      <c r="D163" s="28" t="s">
        <v>4323</v>
      </c>
      <c r="E163" s="6" t="s">
        <v>242</v>
      </c>
      <c r="F163" s="28" t="s">
        <v>100</v>
      </c>
      <c r="G163" s="224" t="s">
        <v>85</v>
      </c>
      <c r="H163" s="28" t="s">
        <v>620</v>
      </c>
      <c r="I163" s="6" t="s">
        <v>620</v>
      </c>
      <c r="J163" s="28" t="s">
        <v>620</v>
      </c>
      <c r="K163" s="177" t="n">
        <f aca="false">Spec_Rack!G34*0.7</f>
        <v>12.6</v>
      </c>
      <c r="L163" s="177" t="n">
        <f aca="false">Spec_Rack!G34*1.3</f>
        <v>23.4</v>
      </c>
      <c r="M163" s="28" t="s">
        <v>4172</v>
      </c>
      <c r="N163" s="6" t="s">
        <v>4300</v>
      </c>
      <c r="O163" s="6" t="s">
        <v>620</v>
      </c>
      <c r="P163" s="224" t="s">
        <v>3885</v>
      </c>
      <c r="Q163" s="47" t="n">
        <f aca="false">Spec_Rack!G34</f>
        <v>18</v>
      </c>
      <c r="R163" s="28" t="s">
        <v>620</v>
      </c>
      <c r="S163" s="42" t="str">
        <f aca="false">IF(ISNUMBER($AF163),INDEX(IDX_SrcStat,$AF163),"—")</f>
        <v>—</v>
      </c>
      <c r="T163" s="42" t="str">
        <f aca="false">IF(ISNUMBER($AF163),INDEX(IDX_SrcGrade,$AF163),"—")</f>
        <v>—</v>
      </c>
      <c r="U163" s="42" t="s">
        <v>3886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2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2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4324</v>
      </c>
      <c r="B164" s="224" t="s">
        <v>3880</v>
      </c>
      <c r="C164" s="28" t="s">
        <v>4044</v>
      </c>
      <c r="D164" s="28" t="s">
        <v>4325</v>
      </c>
      <c r="E164" s="6" t="s">
        <v>247</v>
      </c>
      <c r="F164" s="224" t="s">
        <v>332</v>
      </c>
      <c r="G164" s="224" t="s">
        <v>3882</v>
      </c>
      <c r="H164" s="28" t="s">
        <v>4326</v>
      </c>
      <c r="I164" s="19" t="s">
        <v>3917</v>
      </c>
      <c r="J164" s="28" t="s">
        <v>620</v>
      </c>
      <c r="K164" s="224"/>
      <c r="L164" s="224"/>
      <c r="M164" s="28" t="s">
        <v>620</v>
      </c>
      <c r="N164" s="19" t="s">
        <v>4020</v>
      </c>
      <c r="O164" s="6" t="s">
        <v>620</v>
      </c>
      <c r="P164" s="224" t="s">
        <v>3885</v>
      </c>
      <c r="Q164" s="44" t="n">
        <f aca="false">Spec_Rack!C39</f>
        <v>0.989</v>
      </c>
      <c r="R164" s="177" t="n">
        <f aca="false">SRC_HW_019</f>
        <v>0.989</v>
      </c>
      <c r="S164" s="42" t="str">
        <f aca="false">IF(ISNUMBER($AF164),INDEX(IDX_SrcStat,$AF164),"—")</f>
        <v>Active</v>
      </c>
      <c r="T164" s="42" t="n">
        <f aca="false">IF(ISNUMBER($AF164),INDEX(IDX_SrcGrade,$AF164),"—")</f>
        <v>3</v>
      </c>
      <c r="U164" s="42" t="s">
        <v>3919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2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2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4327</v>
      </c>
      <c r="B165" s="224" t="s">
        <v>3880</v>
      </c>
      <c r="C165" s="28" t="s">
        <v>4044</v>
      </c>
      <c r="D165" s="28" t="s">
        <v>4328</v>
      </c>
      <c r="E165" s="6" t="s">
        <v>247</v>
      </c>
      <c r="F165" s="224" t="s">
        <v>332</v>
      </c>
      <c r="G165" s="224" t="s">
        <v>3882</v>
      </c>
      <c r="H165" s="28" t="s">
        <v>4329</v>
      </c>
      <c r="I165" s="19" t="s">
        <v>3917</v>
      </c>
      <c r="J165" s="28" t="s">
        <v>620</v>
      </c>
      <c r="K165" s="224"/>
      <c r="L165" s="224"/>
      <c r="M165" s="28" t="s">
        <v>620</v>
      </c>
      <c r="N165" s="19" t="s">
        <v>4020</v>
      </c>
      <c r="O165" s="6" t="s">
        <v>620</v>
      </c>
      <c r="P165" s="224" t="s">
        <v>3885</v>
      </c>
      <c r="Q165" s="44" t="n">
        <f aca="false">Spec_Rack!D39</f>
        <v>2.5</v>
      </c>
      <c r="R165" s="177" t="n">
        <f aca="false">SRC_HW_042</f>
        <v>2.5</v>
      </c>
      <c r="S165" s="42" t="str">
        <f aca="false">IF(ISNUMBER($AF165),INDEX(IDX_SrcStat,$AF165),"—")</f>
        <v>Active</v>
      </c>
      <c r="T165" s="42" t="n">
        <f aca="false">IF(ISNUMBER($AF165),INDEX(IDX_SrcGrade,$AF165),"—")</f>
        <v>3</v>
      </c>
      <c r="U165" s="42" t="s">
        <v>3919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2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2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4330</v>
      </c>
      <c r="B166" s="224" t="s">
        <v>3880</v>
      </c>
      <c r="C166" s="28" t="s">
        <v>4044</v>
      </c>
      <c r="D166" s="28" t="s">
        <v>4331</v>
      </c>
      <c r="E166" s="6" t="s">
        <v>247</v>
      </c>
      <c r="F166" s="224" t="s">
        <v>332</v>
      </c>
      <c r="G166" s="224" t="s">
        <v>3882</v>
      </c>
      <c r="H166" s="28" t="s">
        <v>4329</v>
      </c>
      <c r="I166" s="19" t="s">
        <v>3917</v>
      </c>
      <c r="J166" s="28" t="s">
        <v>620</v>
      </c>
      <c r="K166" s="224"/>
      <c r="L166" s="224"/>
      <c r="M166" s="28" t="s">
        <v>620</v>
      </c>
      <c r="N166" s="19" t="s">
        <v>4020</v>
      </c>
      <c r="O166" s="6" t="s">
        <v>620</v>
      </c>
      <c r="P166" s="224" t="s">
        <v>3885</v>
      </c>
      <c r="Q166" s="44" t="n">
        <f aca="false">Spec_Rack!E39</f>
        <v>2.5</v>
      </c>
      <c r="R166" s="177" t="n">
        <f aca="false">SRC_HW_042</f>
        <v>2.5</v>
      </c>
      <c r="S166" s="42" t="str">
        <f aca="false">IF(ISNUMBER($AF166),INDEX(IDX_SrcStat,$AF166),"—")</f>
        <v>Active</v>
      </c>
      <c r="T166" s="42" t="n">
        <f aca="false">IF(ISNUMBER($AF166),INDEX(IDX_SrcGrade,$AF166),"—")</f>
        <v>3</v>
      </c>
      <c r="U166" s="42" t="s">
        <v>3919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2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2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4332</v>
      </c>
      <c r="B167" s="224" t="s">
        <v>3880</v>
      </c>
      <c r="C167" s="28" t="s">
        <v>4044</v>
      </c>
      <c r="D167" s="28" t="s">
        <v>4333</v>
      </c>
      <c r="E167" s="6" t="s">
        <v>247</v>
      </c>
      <c r="F167" s="224" t="s">
        <v>332</v>
      </c>
      <c r="G167" s="224" t="s">
        <v>3882</v>
      </c>
      <c r="H167" s="28" t="s">
        <v>4334</v>
      </c>
      <c r="I167" s="19" t="s">
        <v>4225</v>
      </c>
      <c r="J167" s="28" t="s">
        <v>620</v>
      </c>
      <c r="K167" s="224"/>
      <c r="L167" s="224"/>
      <c r="M167" s="28" t="s">
        <v>620</v>
      </c>
      <c r="N167" s="19" t="s">
        <v>4020</v>
      </c>
      <c r="O167" s="6" t="s">
        <v>620</v>
      </c>
      <c r="P167" s="224" t="s">
        <v>3885</v>
      </c>
      <c r="Q167" s="44" t="n">
        <f aca="false">Spec_Rack!F39</f>
        <v>4</v>
      </c>
      <c r="R167" s="177" t="n">
        <f aca="false">SRC_HW_039</f>
        <v>288</v>
      </c>
      <c r="S167" s="42" t="str">
        <f aca="false">IF(ISNUMBER($AF167),INDEX(IDX_SrcStat,$AF167),"—")</f>
        <v>Active</v>
      </c>
      <c r="T167" s="42" t="n">
        <f aca="false">IF(ISNUMBER($AF167),INDEX(IDX_SrcGrade,$AF167),"—")</f>
        <v>2</v>
      </c>
      <c r="U167" s="42" t="s">
        <v>3919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2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2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4335</v>
      </c>
      <c r="B168" s="224" t="s">
        <v>3880</v>
      </c>
      <c r="C168" s="28" t="s">
        <v>4044</v>
      </c>
      <c r="D168" s="28" t="s">
        <v>4336</v>
      </c>
      <c r="E168" s="6" t="s">
        <v>247</v>
      </c>
      <c r="F168" s="28" t="s">
        <v>100</v>
      </c>
      <c r="G168" s="224" t="s">
        <v>85</v>
      </c>
      <c r="H168" s="28" t="s">
        <v>620</v>
      </c>
      <c r="I168" s="6" t="s">
        <v>620</v>
      </c>
      <c r="J168" s="28" t="s">
        <v>620</v>
      </c>
      <c r="K168" s="177" t="n">
        <f aca="false">Spec_Rack!G39*0.7</f>
        <v>5.6</v>
      </c>
      <c r="L168" s="177" t="n">
        <f aca="false">Spec_Rack!G39*1.3</f>
        <v>10.4</v>
      </c>
      <c r="M168" s="28" t="s">
        <v>4172</v>
      </c>
      <c r="N168" s="6" t="s">
        <v>4300</v>
      </c>
      <c r="O168" s="6" t="s">
        <v>620</v>
      </c>
      <c r="P168" s="224" t="s">
        <v>3885</v>
      </c>
      <c r="Q168" s="44" t="n">
        <f aca="false">Spec_Rack!G39</f>
        <v>8</v>
      </c>
      <c r="R168" s="28" t="s">
        <v>620</v>
      </c>
      <c r="S168" s="42" t="str">
        <f aca="false">IF(ISNUMBER($AF168),INDEX(IDX_SrcStat,$AF168),"—")</f>
        <v>—</v>
      </c>
      <c r="T168" s="42" t="str">
        <f aca="false">IF(ISNUMBER($AF168),INDEX(IDX_SrcGrade,$AF168),"—")</f>
        <v>—</v>
      </c>
      <c r="U168" s="42" t="s">
        <v>3886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2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2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4337</v>
      </c>
      <c r="B169" s="224" t="s">
        <v>3880</v>
      </c>
      <c r="C169" s="28" t="s">
        <v>4044</v>
      </c>
      <c r="D169" s="28" t="s">
        <v>4338</v>
      </c>
      <c r="E169" s="6" t="s">
        <v>249</v>
      </c>
      <c r="F169" s="224" t="s">
        <v>332</v>
      </c>
      <c r="G169" s="224" t="s">
        <v>3882</v>
      </c>
      <c r="H169" s="28" t="s">
        <v>4161</v>
      </c>
      <c r="I169" s="19" t="s">
        <v>3917</v>
      </c>
      <c r="J169" s="28" t="s">
        <v>620</v>
      </c>
      <c r="K169" s="224"/>
      <c r="L169" s="224"/>
      <c r="M169" s="28" t="s">
        <v>620</v>
      </c>
      <c r="N169" s="19" t="s">
        <v>4109</v>
      </c>
      <c r="O169" s="6" t="s">
        <v>620</v>
      </c>
      <c r="P169" s="224" t="s">
        <v>3885</v>
      </c>
      <c r="Q169" s="44" t="n">
        <f aca="false">Spec_Rack!C40</f>
        <v>1.979</v>
      </c>
      <c r="R169" s="177" t="n">
        <f aca="false">SRC_HW_040</f>
        <v>1.979</v>
      </c>
      <c r="S169" s="42" t="str">
        <f aca="false">IF(ISNUMBER($AF169),INDEX(IDX_SrcStat,$AF169),"—")</f>
        <v>Active</v>
      </c>
      <c r="T169" s="42" t="n">
        <f aca="false">IF(ISNUMBER($AF169),INDEX(IDX_SrcGrade,$AF169),"—")</f>
        <v>1</v>
      </c>
      <c r="U169" s="42" t="s">
        <v>3919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2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2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4339</v>
      </c>
      <c r="B170" s="224" t="s">
        <v>3880</v>
      </c>
      <c r="C170" s="28" t="s">
        <v>4044</v>
      </c>
      <c r="D170" s="28" t="s">
        <v>4340</v>
      </c>
      <c r="E170" s="6" t="s">
        <v>249</v>
      </c>
      <c r="F170" s="224" t="s">
        <v>332</v>
      </c>
      <c r="G170" s="224" t="s">
        <v>3882</v>
      </c>
      <c r="H170" s="28" t="s">
        <v>4341</v>
      </c>
      <c r="I170" s="19" t="s">
        <v>3917</v>
      </c>
      <c r="J170" s="28" t="s">
        <v>620</v>
      </c>
      <c r="K170" s="224"/>
      <c r="L170" s="224"/>
      <c r="M170" s="28" t="s">
        <v>620</v>
      </c>
      <c r="N170" s="19" t="s">
        <v>4109</v>
      </c>
      <c r="O170" s="6" t="s">
        <v>620</v>
      </c>
      <c r="P170" s="224" t="s">
        <v>3885</v>
      </c>
      <c r="Q170" s="44" t="n">
        <f aca="false">Spec_Rack!D40</f>
        <v>5</v>
      </c>
      <c r="R170" s="177" t="n">
        <f aca="false">SRC_HW_043</f>
        <v>5</v>
      </c>
      <c r="S170" s="42" t="str">
        <f aca="false">IF(ISNUMBER($AF170),INDEX(IDX_SrcStat,$AF170),"—")</f>
        <v>Active</v>
      </c>
      <c r="T170" s="42" t="n">
        <f aca="false">IF(ISNUMBER($AF170),INDEX(IDX_SrcGrade,$AF170),"—")</f>
        <v>1</v>
      </c>
      <c r="U170" s="42" t="s">
        <v>3919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2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2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4342</v>
      </c>
      <c r="B171" s="224" t="s">
        <v>3880</v>
      </c>
      <c r="C171" s="28" t="s">
        <v>4044</v>
      </c>
      <c r="D171" s="28" t="s">
        <v>4343</v>
      </c>
      <c r="E171" s="6" t="s">
        <v>249</v>
      </c>
      <c r="F171" s="224" t="s">
        <v>332</v>
      </c>
      <c r="G171" s="224" t="s">
        <v>3882</v>
      </c>
      <c r="H171" s="28" t="s">
        <v>4341</v>
      </c>
      <c r="I171" s="19" t="s">
        <v>3917</v>
      </c>
      <c r="J171" s="28" t="s">
        <v>620</v>
      </c>
      <c r="K171" s="224"/>
      <c r="L171" s="224"/>
      <c r="M171" s="28" t="s">
        <v>620</v>
      </c>
      <c r="N171" s="19" t="s">
        <v>4109</v>
      </c>
      <c r="O171" s="6" t="s">
        <v>620</v>
      </c>
      <c r="P171" s="224" t="s">
        <v>3885</v>
      </c>
      <c r="Q171" s="44" t="n">
        <f aca="false">Spec_Rack!E40</f>
        <v>5</v>
      </c>
      <c r="R171" s="177" t="n">
        <f aca="false">SRC_HW_043</f>
        <v>5</v>
      </c>
      <c r="S171" s="42" t="str">
        <f aca="false">IF(ISNUMBER($AF171),INDEX(IDX_SrcStat,$AF171),"—")</f>
        <v>Active</v>
      </c>
      <c r="T171" s="42" t="n">
        <f aca="false">IF(ISNUMBER($AF171),INDEX(IDX_SrcGrade,$AF171),"—")</f>
        <v>1</v>
      </c>
      <c r="U171" s="42" t="s">
        <v>3919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2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2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4344</v>
      </c>
      <c r="B172" s="224" t="s">
        <v>3880</v>
      </c>
      <c r="C172" s="28" t="s">
        <v>4044</v>
      </c>
      <c r="D172" s="28" t="s">
        <v>4345</v>
      </c>
      <c r="E172" s="6" t="s">
        <v>249</v>
      </c>
      <c r="F172" s="224" t="s">
        <v>332</v>
      </c>
      <c r="G172" s="224" t="s">
        <v>3882</v>
      </c>
      <c r="H172" s="28" t="s">
        <v>4346</v>
      </c>
      <c r="I172" s="19" t="s">
        <v>4225</v>
      </c>
      <c r="J172" s="28" t="s">
        <v>620</v>
      </c>
      <c r="K172" s="224"/>
      <c r="L172" s="224"/>
      <c r="M172" s="28" t="s">
        <v>620</v>
      </c>
      <c r="N172" s="19" t="s">
        <v>4109</v>
      </c>
      <c r="O172" s="6" t="s">
        <v>620</v>
      </c>
      <c r="P172" s="224" t="s">
        <v>3885</v>
      </c>
      <c r="Q172" s="44" t="n">
        <f aca="false">Spec_Rack!F40</f>
        <v>17.5</v>
      </c>
      <c r="R172" s="177" t="n">
        <f aca="false">SRC_HW_038</f>
        <v>1260</v>
      </c>
      <c r="S172" s="42" t="str">
        <f aca="false">IF(ISNUMBER($AF172),INDEX(IDX_SrcStat,$AF172),"—")</f>
        <v>Active</v>
      </c>
      <c r="T172" s="42" t="n">
        <f aca="false">IF(ISNUMBER($AF172),INDEX(IDX_SrcGrade,$AF172),"—")</f>
        <v>2</v>
      </c>
      <c r="U172" s="42" t="s">
        <v>3919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2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2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4347</v>
      </c>
      <c r="B173" s="224" t="s">
        <v>3880</v>
      </c>
      <c r="C173" s="28" t="s">
        <v>4044</v>
      </c>
      <c r="D173" s="28" t="s">
        <v>4348</v>
      </c>
      <c r="E173" s="6" t="s">
        <v>249</v>
      </c>
      <c r="F173" s="224" t="s">
        <v>147</v>
      </c>
      <c r="G173" s="224" t="s">
        <v>3882</v>
      </c>
      <c r="H173" s="28" t="s">
        <v>4170</v>
      </c>
      <c r="I173" s="19" t="s">
        <v>4349</v>
      </c>
      <c r="J173" s="28" t="s">
        <v>620</v>
      </c>
      <c r="K173" s="224"/>
      <c r="L173" s="224"/>
      <c r="M173" s="28" t="s">
        <v>620</v>
      </c>
      <c r="N173" s="19" t="s">
        <v>4350</v>
      </c>
      <c r="O173" s="19" t="s">
        <v>4189</v>
      </c>
      <c r="P173" s="224" t="s">
        <v>3885</v>
      </c>
      <c r="Q173" s="44" t="n">
        <f aca="false">Spec_Rack!G40</f>
        <v>35</v>
      </c>
      <c r="R173" s="177" t="n">
        <f aca="false">SRC_HW_063</f>
        <v>2520</v>
      </c>
      <c r="S173" s="42" t="str">
        <f aca="false">IF(ISNUMBER($AF173),INDEX(IDX_SrcStat,$AF173),"—")</f>
        <v>Active</v>
      </c>
      <c r="T173" s="42" t="n">
        <f aca="false">IF(ISNUMBER($AF173),INDEX(IDX_SrcGrade,$AF173),"—")</f>
        <v>1</v>
      </c>
      <c r="U173" s="42" t="s">
        <v>3886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2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2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4351</v>
      </c>
      <c r="B174" s="224" t="s">
        <v>3880</v>
      </c>
      <c r="C174" s="28" t="s">
        <v>4044</v>
      </c>
      <c r="D174" s="28" t="s">
        <v>4352</v>
      </c>
      <c r="E174" s="6" t="s">
        <v>251</v>
      </c>
      <c r="F174" s="28" t="s">
        <v>3974</v>
      </c>
      <c r="G174" s="224" t="s">
        <v>3882</v>
      </c>
      <c r="H174" s="28" t="s">
        <v>620</v>
      </c>
      <c r="I174" s="6" t="s">
        <v>620</v>
      </c>
      <c r="J174" s="28" t="s">
        <v>620</v>
      </c>
      <c r="K174" s="224"/>
      <c r="L174" s="224"/>
      <c r="M174" s="28" t="s">
        <v>620</v>
      </c>
      <c r="N174" s="6" t="s">
        <v>4353</v>
      </c>
      <c r="O174" s="6" t="s">
        <v>620</v>
      </c>
      <c r="P174" s="224" t="s">
        <v>3885</v>
      </c>
      <c r="Q174" s="44" t="n">
        <f aca="false">Spec_Rack!C41</f>
        <v>1.979</v>
      </c>
      <c r="R174" s="28" t="s">
        <v>620</v>
      </c>
      <c r="S174" s="42" t="str">
        <f aca="false">IF(ISNUMBER($AF174),INDEX(IDX_SrcStat,$AF174),"—")</f>
        <v>—</v>
      </c>
      <c r="T174" s="42" t="str">
        <f aca="false">IF(ISNUMBER($AF174),INDEX(IDX_SrcGrade,$AF174),"—")</f>
        <v>—</v>
      </c>
      <c r="U174" s="42" t="s">
        <v>3978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2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2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4354</v>
      </c>
      <c r="B175" s="224" t="s">
        <v>3880</v>
      </c>
      <c r="C175" s="28" t="s">
        <v>4044</v>
      </c>
      <c r="D175" s="28" t="s">
        <v>4355</v>
      </c>
      <c r="E175" s="6" t="s">
        <v>251</v>
      </c>
      <c r="F175" s="28" t="s">
        <v>104</v>
      </c>
      <c r="G175" s="224" t="s">
        <v>3882</v>
      </c>
      <c r="H175" s="28" t="s">
        <v>4356</v>
      </c>
      <c r="I175" s="19" t="s">
        <v>4357</v>
      </c>
      <c r="J175" s="28" t="s">
        <v>620</v>
      </c>
      <c r="K175" s="226" t="n">
        <v>5</v>
      </c>
      <c r="L175" s="226" t="n">
        <v>10</v>
      </c>
      <c r="M175" s="28" t="s">
        <v>4358</v>
      </c>
      <c r="N175" s="225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620</v>
      </c>
      <c r="P175" s="224" t="s">
        <v>3885</v>
      </c>
      <c r="Q175" s="44" t="n">
        <f aca="false">Spec_Rack!D41</f>
        <v>10</v>
      </c>
      <c r="R175" s="177" t="n">
        <f aca="false">SRC_HW_037</f>
        <v>2520</v>
      </c>
      <c r="S175" s="42" t="str">
        <f aca="false">IF(ISNUMBER($AF175),INDEX(IDX_SrcStat,$AF175),"—")</f>
        <v>Active</v>
      </c>
      <c r="T175" s="42" t="n">
        <f aca="false">IF(ISNUMBER($AF175),INDEX(IDX_SrcGrade,$AF175),"—")</f>
        <v>2</v>
      </c>
      <c r="U175" s="42" t="s">
        <v>3886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2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2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4359</v>
      </c>
      <c r="B176" s="224" t="s">
        <v>3880</v>
      </c>
      <c r="C176" s="28" t="s">
        <v>4044</v>
      </c>
      <c r="D176" s="28" t="s">
        <v>4360</v>
      </c>
      <c r="E176" s="6" t="s">
        <v>251</v>
      </c>
      <c r="F176" s="28" t="s">
        <v>100</v>
      </c>
      <c r="G176" s="224" t="s">
        <v>3882</v>
      </c>
      <c r="H176" s="28" t="s">
        <v>620</v>
      </c>
      <c r="I176" s="6" t="s">
        <v>620</v>
      </c>
      <c r="J176" s="28" t="s">
        <v>620</v>
      </c>
      <c r="K176" s="226" t="n">
        <v>10</v>
      </c>
      <c r="L176" s="226" t="n">
        <v>15</v>
      </c>
      <c r="M176" s="28" t="s">
        <v>4361</v>
      </c>
      <c r="N176" s="225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620</v>
      </c>
      <c r="P176" s="224" t="s">
        <v>3885</v>
      </c>
      <c r="Q176" s="44" t="n">
        <f aca="false">Spec_Rack!E41</f>
        <v>15</v>
      </c>
      <c r="R176" s="28" t="s">
        <v>620</v>
      </c>
      <c r="S176" s="42" t="str">
        <f aca="false">IF(ISNUMBER($AF176),INDEX(IDX_SrcStat,$AF176),"—")</f>
        <v>—</v>
      </c>
      <c r="T176" s="42" t="str">
        <f aca="false">IF(ISNUMBER($AF176),INDEX(IDX_SrcGrade,$AF176),"—")</f>
        <v>—</v>
      </c>
      <c r="U176" s="42" t="s">
        <v>3886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2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2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4362</v>
      </c>
      <c r="B177" s="224" t="s">
        <v>3880</v>
      </c>
      <c r="C177" s="28" t="s">
        <v>4044</v>
      </c>
      <c r="D177" s="28" t="s">
        <v>4363</v>
      </c>
      <c r="E177" s="6" t="s">
        <v>251</v>
      </c>
      <c r="F177" s="224" t="s">
        <v>332</v>
      </c>
      <c r="G177" s="224" t="s">
        <v>3882</v>
      </c>
      <c r="H177" s="28" t="s">
        <v>4356</v>
      </c>
      <c r="I177" s="19" t="s">
        <v>4225</v>
      </c>
      <c r="J177" s="28" t="s">
        <v>620</v>
      </c>
      <c r="K177" s="224"/>
      <c r="L177" s="224"/>
      <c r="M177" s="28" t="s">
        <v>620</v>
      </c>
      <c r="N177" s="19" t="s">
        <v>4020</v>
      </c>
      <c r="O177" s="6" t="s">
        <v>620</v>
      </c>
      <c r="P177" s="224" t="s">
        <v>3885</v>
      </c>
      <c r="Q177" s="44" t="n">
        <f aca="false">Spec_Rack!F41</f>
        <v>35</v>
      </c>
      <c r="R177" s="177" t="n">
        <f aca="false">SRC_HW_037</f>
        <v>2520</v>
      </c>
      <c r="S177" s="42" t="str">
        <f aca="false">IF(ISNUMBER($AF177),INDEX(IDX_SrcStat,$AF177),"—")</f>
        <v>Active</v>
      </c>
      <c r="T177" s="42" t="n">
        <f aca="false">IF(ISNUMBER($AF177),INDEX(IDX_SrcGrade,$AF177),"—")</f>
        <v>2</v>
      </c>
      <c r="U177" s="42" t="s">
        <v>3919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2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2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4364</v>
      </c>
      <c r="B178" s="224" t="s">
        <v>3880</v>
      </c>
      <c r="C178" s="28" t="s">
        <v>4044</v>
      </c>
      <c r="D178" s="28" t="s">
        <v>4365</v>
      </c>
      <c r="E178" s="6" t="s">
        <v>251</v>
      </c>
      <c r="F178" s="28" t="s">
        <v>100</v>
      </c>
      <c r="G178" s="224" t="s">
        <v>85</v>
      </c>
      <c r="H178" s="28" t="s">
        <v>620</v>
      </c>
      <c r="I178" s="6" t="s">
        <v>620</v>
      </c>
      <c r="J178" s="28" t="s">
        <v>620</v>
      </c>
      <c r="K178" s="177" t="n">
        <f aca="false">Spec_Rack!G41*0.7</f>
        <v>49</v>
      </c>
      <c r="L178" s="177" t="n">
        <f aca="false">Spec_Rack!G41*1.3</f>
        <v>91</v>
      </c>
      <c r="M178" s="28" t="s">
        <v>4172</v>
      </c>
      <c r="N178" s="6" t="s">
        <v>4300</v>
      </c>
      <c r="O178" s="6" t="s">
        <v>620</v>
      </c>
      <c r="P178" s="224" t="s">
        <v>3885</v>
      </c>
      <c r="Q178" s="44" t="n">
        <f aca="false">Spec_Rack!G41</f>
        <v>70</v>
      </c>
      <c r="R178" s="28" t="s">
        <v>620</v>
      </c>
      <c r="S178" s="42" t="str">
        <f aca="false">IF(ISNUMBER($AF178),INDEX(IDX_SrcStat,$AF178),"—")</f>
        <v>—</v>
      </c>
      <c r="T178" s="42" t="str">
        <f aca="false">IF(ISNUMBER($AF178),INDEX(IDX_SrcGrade,$AF178),"—")</f>
        <v>—</v>
      </c>
      <c r="U178" s="42" t="s">
        <v>3886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2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2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4366</v>
      </c>
      <c r="B179" s="224" t="s">
        <v>3880</v>
      </c>
      <c r="C179" s="28" t="s">
        <v>4367</v>
      </c>
      <c r="D179" s="28" t="s">
        <v>4045</v>
      </c>
      <c r="E179" s="19" t="s">
        <v>270</v>
      </c>
      <c r="F179" s="224" t="s">
        <v>332</v>
      </c>
      <c r="G179" s="224" t="s">
        <v>3882</v>
      </c>
      <c r="H179" s="28" t="s">
        <v>4368</v>
      </c>
      <c r="I179" s="19" t="s">
        <v>3917</v>
      </c>
      <c r="J179" s="28" t="s">
        <v>620</v>
      </c>
      <c r="K179" s="224"/>
      <c r="L179" s="224"/>
      <c r="M179" s="28" t="s">
        <v>620</v>
      </c>
      <c r="N179" s="19" t="s">
        <v>4109</v>
      </c>
      <c r="O179" s="6" t="s">
        <v>620</v>
      </c>
      <c r="P179" s="224" t="s">
        <v>3941</v>
      </c>
      <c r="Q179" s="47" t="n">
        <f aca="false">Arch!C6</f>
        <v>284</v>
      </c>
      <c r="R179" s="177" t="n">
        <f aca="false">SRC_MOD_005</f>
        <v>284</v>
      </c>
      <c r="S179" s="42" t="str">
        <f aca="false">IF(ISNUMBER($AF179),INDEX(IDX_SrcStat,$AF179),"—")</f>
        <v>Active</v>
      </c>
      <c r="T179" s="42" t="n">
        <f aca="false">IF(ISNUMBER($AF179),INDEX(IDX_SrcGrade,$AF179),"—")</f>
        <v>3</v>
      </c>
      <c r="U179" s="42" t="s">
        <v>3919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2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2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4369</v>
      </c>
      <c r="B180" s="224" t="s">
        <v>3880</v>
      </c>
      <c r="C180" s="28" t="s">
        <v>4367</v>
      </c>
      <c r="D180" s="28" t="s">
        <v>4049</v>
      </c>
      <c r="E180" s="19" t="s">
        <v>270</v>
      </c>
      <c r="F180" s="224" t="s">
        <v>332</v>
      </c>
      <c r="G180" s="224" t="s">
        <v>3882</v>
      </c>
      <c r="H180" s="28" t="s">
        <v>4370</v>
      </c>
      <c r="I180" s="19" t="s">
        <v>3917</v>
      </c>
      <c r="J180" s="28" t="s">
        <v>620</v>
      </c>
      <c r="K180" s="224"/>
      <c r="L180" s="224"/>
      <c r="M180" s="28" t="s">
        <v>620</v>
      </c>
      <c r="N180" s="19" t="s">
        <v>4109</v>
      </c>
      <c r="O180" s="6" t="s">
        <v>620</v>
      </c>
      <c r="P180" s="224" t="s">
        <v>3941</v>
      </c>
      <c r="Q180" s="47" t="n">
        <f aca="false">Arch!D6</f>
        <v>1600</v>
      </c>
      <c r="R180" s="177" t="n">
        <f aca="false">SRC_MOD_001</f>
        <v>1600</v>
      </c>
      <c r="S180" s="42" t="str">
        <f aca="false">IF(ISNUMBER($AF180),INDEX(IDX_SrcStat,$AF180),"—")</f>
        <v>Active</v>
      </c>
      <c r="T180" s="42" t="n">
        <f aca="false">IF(ISNUMBER($AF180),INDEX(IDX_SrcGrade,$AF180),"—")</f>
        <v>3</v>
      </c>
      <c r="U180" s="42" t="s">
        <v>3919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2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2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4371</v>
      </c>
      <c r="B181" s="224" t="s">
        <v>3880</v>
      </c>
      <c r="C181" s="28" t="s">
        <v>4367</v>
      </c>
      <c r="D181" s="28" t="s">
        <v>4372</v>
      </c>
      <c r="E181" s="19" t="s">
        <v>274</v>
      </c>
      <c r="F181" s="224" t="s">
        <v>332</v>
      </c>
      <c r="G181" s="224" t="s">
        <v>3882</v>
      </c>
      <c r="H181" s="28" t="s">
        <v>4373</v>
      </c>
      <c r="I181" s="19" t="s">
        <v>3917</v>
      </c>
      <c r="J181" s="28" t="s">
        <v>620</v>
      </c>
      <c r="K181" s="224"/>
      <c r="L181" s="224"/>
      <c r="M181" s="28" t="s">
        <v>620</v>
      </c>
      <c r="N181" s="19" t="s">
        <v>4020</v>
      </c>
      <c r="O181" s="6" t="s">
        <v>620</v>
      </c>
      <c r="P181" s="224" t="s">
        <v>1151</v>
      </c>
      <c r="Q181" s="47" t="n">
        <f aca="false">Arch!C7</f>
        <v>13</v>
      </c>
      <c r="R181" s="177" t="n">
        <f aca="false">SRC_MOD_006</f>
        <v>13</v>
      </c>
      <c r="S181" s="42" t="str">
        <f aca="false">IF(ISNUMBER($AF181),INDEX(IDX_SrcStat,$AF181),"—")</f>
        <v>Active</v>
      </c>
      <c r="T181" s="42" t="n">
        <f aca="false">IF(ISNUMBER($AF181),INDEX(IDX_SrcGrade,$AF181),"—")</f>
        <v>1</v>
      </c>
      <c r="U181" s="42" t="s">
        <v>3919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2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2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4374</v>
      </c>
      <c r="B182" s="224" t="s">
        <v>3880</v>
      </c>
      <c r="C182" s="28" t="s">
        <v>4367</v>
      </c>
      <c r="D182" s="28" t="s">
        <v>4375</v>
      </c>
      <c r="E182" s="19" t="s">
        <v>274</v>
      </c>
      <c r="F182" s="224" t="s">
        <v>332</v>
      </c>
      <c r="G182" s="224" t="s">
        <v>3882</v>
      </c>
      <c r="H182" s="28" t="s">
        <v>4376</v>
      </c>
      <c r="I182" s="19" t="s">
        <v>3917</v>
      </c>
      <c r="J182" s="28" t="s">
        <v>620</v>
      </c>
      <c r="K182" s="224"/>
      <c r="L182" s="224"/>
      <c r="M182" s="28" t="s">
        <v>620</v>
      </c>
      <c r="N182" s="19" t="s">
        <v>4020</v>
      </c>
      <c r="O182" s="6" t="s">
        <v>620</v>
      </c>
      <c r="P182" s="224" t="s">
        <v>1151</v>
      </c>
      <c r="Q182" s="47" t="n">
        <f aca="false">Arch!D7</f>
        <v>49</v>
      </c>
      <c r="R182" s="177" t="n">
        <f aca="false">SRC_MOD_002</f>
        <v>49</v>
      </c>
      <c r="S182" s="42" t="str">
        <f aca="false">IF(ISNUMBER($AF182),INDEX(IDX_SrcStat,$AF182),"—")</f>
        <v>Active</v>
      </c>
      <c r="T182" s="42" t="n">
        <f aca="false">IF(ISNUMBER($AF182),INDEX(IDX_SrcGrade,$AF182),"—")</f>
        <v>1</v>
      </c>
      <c r="U182" s="42" t="s">
        <v>3919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2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2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4377</v>
      </c>
      <c r="B183" s="224" t="s">
        <v>3880</v>
      </c>
      <c r="C183" s="28" t="s">
        <v>4367</v>
      </c>
      <c r="D183" s="28" t="s">
        <v>4058</v>
      </c>
      <c r="E183" s="19" t="s">
        <v>276</v>
      </c>
      <c r="F183" s="224" t="s">
        <v>332</v>
      </c>
      <c r="G183" s="224" t="s">
        <v>3882</v>
      </c>
      <c r="H183" s="28" t="s">
        <v>4378</v>
      </c>
      <c r="I183" s="19" t="s">
        <v>3917</v>
      </c>
      <c r="J183" s="28" t="s">
        <v>620</v>
      </c>
      <c r="K183" s="224"/>
      <c r="L183" s="224"/>
      <c r="M183" s="28" t="s">
        <v>620</v>
      </c>
      <c r="N183" s="19" t="s">
        <v>4109</v>
      </c>
      <c r="O183" s="6" t="s">
        <v>620</v>
      </c>
      <c r="P183" s="224" t="s">
        <v>3941</v>
      </c>
      <c r="Q183" s="47" t="n">
        <f aca="false">Arch!C8</f>
        <v>43</v>
      </c>
      <c r="R183" s="177" t="n">
        <f aca="false">SRC_MOD_007</f>
        <v>43</v>
      </c>
      <c r="S183" s="42" t="str">
        <f aca="false">IF(ISNUMBER($AF183),INDEX(IDX_SrcStat,$AF183),"—")</f>
        <v>Active</v>
      </c>
      <c r="T183" s="42" t="n">
        <f aca="false">IF(ISNUMBER($AF183),INDEX(IDX_SrcGrade,$AF183),"—")</f>
        <v>1</v>
      </c>
      <c r="U183" s="42" t="s">
        <v>3919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2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2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4379</v>
      </c>
      <c r="B184" s="224" t="s">
        <v>3880</v>
      </c>
      <c r="C184" s="28" t="s">
        <v>4367</v>
      </c>
      <c r="D184" s="28" t="s">
        <v>4061</v>
      </c>
      <c r="E184" s="19" t="s">
        <v>276</v>
      </c>
      <c r="F184" s="224" t="s">
        <v>332</v>
      </c>
      <c r="G184" s="224" t="s">
        <v>3882</v>
      </c>
      <c r="H184" s="28" t="s">
        <v>4380</v>
      </c>
      <c r="I184" s="19" t="s">
        <v>3917</v>
      </c>
      <c r="J184" s="28" t="s">
        <v>620</v>
      </c>
      <c r="K184" s="224"/>
      <c r="L184" s="224"/>
      <c r="M184" s="28" t="s">
        <v>620</v>
      </c>
      <c r="N184" s="19" t="s">
        <v>4109</v>
      </c>
      <c r="O184" s="6" t="s">
        <v>620</v>
      </c>
      <c r="P184" s="224" t="s">
        <v>3941</v>
      </c>
      <c r="Q184" s="47" t="n">
        <f aca="false">Arch!D8</f>
        <v>61</v>
      </c>
      <c r="R184" s="177" t="n">
        <f aca="false">SRC_MOD_003</f>
        <v>61</v>
      </c>
      <c r="S184" s="42" t="str">
        <f aca="false">IF(ISNUMBER($AF184),INDEX(IDX_SrcStat,$AF184),"—")</f>
        <v>Active</v>
      </c>
      <c r="T184" s="42" t="n">
        <f aca="false">IF(ISNUMBER($AF184),INDEX(IDX_SrcGrade,$AF184),"—")</f>
        <v>3</v>
      </c>
      <c r="U184" s="42" t="s">
        <v>3919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2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2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4381</v>
      </c>
      <c r="B185" s="224" t="s">
        <v>3880</v>
      </c>
      <c r="C185" s="28" t="s">
        <v>4367</v>
      </c>
      <c r="D185" s="28" t="s">
        <v>4103</v>
      </c>
      <c r="E185" s="6" t="s">
        <v>283</v>
      </c>
      <c r="F185" s="224" t="s">
        <v>332</v>
      </c>
      <c r="G185" s="224" t="s">
        <v>3882</v>
      </c>
      <c r="H185" s="28" t="s">
        <v>4382</v>
      </c>
      <c r="I185" s="19" t="s">
        <v>3917</v>
      </c>
      <c r="J185" s="28" t="s">
        <v>620</v>
      </c>
      <c r="K185" s="224"/>
      <c r="L185" s="224"/>
      <c r="M185" s="28" t="s">
        <v>620</v>
      </c>
      <c r="N185" s="19" t="s">
        <v>4020</v>
      </c>
      <c r="O185" s="6" t="s">
        <v>620</v>
      </c>
      <c r="P185" s="224" t="s">
        <v>3941</v>
      </c>
      <c r="Q185" s="47" t="n">
        <f aca="false">Arch!C11</f>
        <v>512</v>
      </c>
      <c r="R185" s="177" t="n">
        <f aca="false">SRC_MOD_009</f>
        <v>512</v>
      </c>
      <c r="S185" s="42" t="str">
        <f aca="false">IF(ISNUMBER($AF185),INDEX(IDX_SrcStat,$AF185),"—")</f>
        <v>Active</v>
      </c>
      <c r="T185" s="42" t="n">
        <f aca="false">IF(ISNUMBER($AF185),INDEX(IDX_SrcGrade,$AF185),"—")</f>
        <v>1</v>
      </c>
      <c r="U185" s="42" t="s">
        <v>3919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2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2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4383</v>
      </c>
      <c r="B186" s="224" t="s">
        <v>3880</v>
      </c>
      <c r="C186" s="28" t="s">
        <v>4367</v>
      </c>
      <c r="D186" s="28" t="s">
        <v>3907</v>
      </c>
      <c r="E186" s="6" t="s">
        <v>283</v>
      </c>
      <c r="F186" s="224" t="s">
        <v>332</v>
      </c>
      <c r="G186" s="224" t="s">
        <v>3882</v>
      </c>
      <c r="H186" s="28" t="s">
        <v>4382</v>
      </c>
      <c r="I186" s="19" t="s">
        <v>3917</v>
      </c>
      <c r="J186" s="28" t="s">
        <v>620</v>
      </c>
      <c r="K186" s="224"/>
      <c r="L186" s="224"/>
      <c r="M186" s="28" t="s">
        <v>620</v>
      </c>
      <c r="N186" s="19" t="s">
        <v>4020</v>
      </c>
      <c r="O186" s="6" t="s">
        <v>620</v>
      </c>
      <c r="P186" s="224" t="s">
        <v>3941</v>
      </c>
      <c r="Q186" s="47" t="n">
        <f aca="false">Arch!D11</f>
        <v>512</v>
      </c>
      <c r="R186" s="177" t="n">
        <f aca="false">SRC_MOD_009</f>
        <v>512</v>
      </c>
      <c r="S186" s="42" t="str">
        <f aca="false">IF(ISNUMBER($AF186),INDEX(IDX_SrcStat,$AF186),"—")</f>
        <v>Active</v>
      </c>
      <c r="T186" s="42" t="n">
        <f aca="false">IF(ISNUMBER($AF186),INDEX(IDX_SrcGrade,$AF186),"—")</f>
        <v>1</v>
      </c>
      <c r="U186" s="42" t="s">
        <v>3919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2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2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4384</v>
      </c>
      <c r="B187" s="224" t="s">
        <v>3880</v>
      </c>
      <c r="C187" s="28" t="s">
        <v>4367</v>
      </c>
      <c r="D187" s="28" t="s">
        <v>4124</v>
      </c>
      <c r="E187" s="6" t="s">
        <v>285</v>
      </c>
      <c r="F187" s="224" t="s">
        <v>332</v>
      </c>
      <c r="G187" s="224" t="s">
        <v>3882</v>
      </c>
      <c r="H187" s="28" t="s">
        <v>4385</v>
      </c>
      <c r="I187" s="19" t="s">
        <v>3917</v>
      </c>
      <c r="J187" s="28" t="s">
        <v>620</v>
      </c>
      <c r="K187" s="224"/>
      <c r="L187" s="224"/>
      <c r="M187" s="28" t="s">
        <v>620</v>
      </c>
      <c r="N187" s="19" t="s">
        <v>4109</v>
      </c>
      <c r="O187" s="6" t="s">
        <v>620</v>
      </c>
      <c r="P187" s="224" t="s">
        <v>3941</v>
      </c>
      <c r="Q187" s="47" t="n">
        <f aca="false">Arch!C12</f>
        <v>256</v>
      </c>
      <c r="R187" s="177" t="n">
        <f aca="false">SRC_MOD_010</f>
        <v>256</v>
      </c>
      <c r="S187" s="42" t="str">
        <f aca="false">IF(ISNUMBER($AF187),INDEX(IDX_SrcStat,$AF187),"—")</f>
        <v>Active</v>
      </c>
      <c r="T187" s="42" t="n">
        <f aca="false">IF(ISNUMBER($AF187),INDEX(IDX_SrcGrade,$AF187),"—")</f>
        <v>1</v>
      </c>
      <c r="U187" s="42" t="s">
        <v>3919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2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2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4386</v>
      </c>
      <c r="B188" s="224" t="s">
        <v>3880</v>
      </c>
      <c r="C188" s="28" t="s">
        <v>4367</v>
      </c>
      <c r="D188" s="28" t="s">
        <v>4128</v>
      </c>
      <c r="E188" s="6" t="s">
        <v>285</v>
      </c>
      <c r="F188" s="224" t="s">
        <v>332</v>
      </c>
      <c r="G188" s="224" t="s">
        <v>3882</v>
      </c>
      <c r="H188" s="28" t="s">
        <v>4387</v>
      </c>
      <c r="I188" s="19" t="s">
        <v>3917</v>
      </c>
      <c r="J188" s="28" t="s">
        <v>620</v>
      </c>
      <c r="K188" s="224"/>
      <c r="L188" s="224"/>
      <c r="M188" s="28" t="s">
        <v>620</v>
      </c>
      <c r="N188" s="19" t="s">
        <v>4109</v>
      </c>
      <c r="O188" s="6" t="s">
        <v>620</v>
      </c>
      <c r="P188" s="224" t="s">
        <v>3941</v>
      </c>
      <c r="Q188" s="47" t="n">
        <f aca="false">Arch!D12</f>
        <v>384</v>
      </c>
      <c r="R188" s="177" t="n">
        <f aca="false">SRC_MOD_011</f>
        <v>384</v>
      </c>
      <c r="S188" s="42" t="str">
        <f aca="false">IF(ISNUMBER($AF188),INDEX(IDX_SrcStat,$AF188),"—")</f>
        <v>Active</v>
      </c>
      <c r="T188" s="42" t="n">
        <f aca="false">IF(ISNUMBER($AF188),INDEX(IDX_SrcGrade,$AF188),"—")</f>
        <v>1</v>
      </c>
      <c r="U188" s="42" t="s">
        <v>3919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2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2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4388</v>
      </c>
      <c r="B189" s="224" t="s">
        <v>3880</v>
      </c>
      <c r="C189" s="28" t="s">
        <v>4367</v>
      </c>
      <c r="D189" s="28" t="s">
        <v>4144</v>
      </c>
      <c r="E189" s="19" t="s">
        <v>4389</v>
      </c>
      <c r="F189" s="224" t="s">
        <v>332</v>
      </c>
      <c r="G189" s="224" t="s">
        <v>3882</v>
      </c>
      <c r="H189" s="28" t="s">
        <v>4390</v>
      </c>
      <c r="I189" s="19" t="s">
        <v>3917</v>
      </c>
      <c r="J189" s="28" t="s">
        <v>620</v>
      </c>
      <c r="K189" s="224"/>
      <c r="L189" s="224"/>
      <c r="M189" s="28" t="s">
        <v>620</v>
      </c>
      <c r="N189" s="19" t="s">
        <v>4109</v>
      </c>
      <c r="O189" s="6" t="s">
        <v>620</v>
      </c>
      <c r="P189" s="224" t="s">
        <v>3941</v>
      </c>
      <c r="Q189" s="47" t="n">
        <f aca="false">Arch!C13</f>
        <v>6</v>
      </c>
      <c r="R189" s="177" t="n">
        <f aca="false">SRC_MOD_012</f>
        <v>6</v>
      </c>
      <c r="S189" s="42" t="str">
        <f aca="false">IF(ISNUMBER($AF189),INDEX(IDX_SrcStat,$AF189),"—")</f>
        <v>Active</v>
      </c>
      <c r="T189" s="42" t="n">
        <f aca="false">IF(ISNUMBER($AF189),INDEX(IDX_SrcGrade,$AF189),"—")</f>
        <v>1</v>
      </c>
      <c r="U189" s="42" t="s">
        <v>3919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2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2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4391</v>
      </c>
      <c r="B190" s="224" t="s">
        <v>3880</v>
      </c>
      <c r="C190" s="28" t="s">
        <v>4367</v>
      </c>
      <c r="D190" s="28" t="s">
        <v>3913</v>
      </c>
      <c r="E190" s="19" t="s">
        <v>4389</v>
      </c>
      <c r="F190" s="224" t="s">
        <v>332</v>
      </c>
      <c r="G190" s="224" t="s">
        <v>3882</v>
      </c>
      <c r="H190" s="28" t="s">
        <v>4390</v>
      </c>
      <c r="I190" s="19" t="s">
        <v>3917</v>
      </c>
      <c r="J190" s="28" t="s">
        <v>620</v>
      </c>
      <c r="K190" s="224"/>
      <c r="L190" s="224"/>
      <c r="M190" s="28" t="s">
        <v>620</v>
      </c>
      <c r="N190" s="19" t="s">
        <v>4109</v>
      </c>
      <c r="O190" s="6" t="s">
        <v>620</v>
      </c>
      <c r="P190" s="224" t="s">
        <v>3941</v>
      </c>
      <c r="Q190" s="47" t="n">
        <f aca="false">Arch!D13</f>
        <v>6</v>
      </c>
      <c r="R190" s="177" t="n">
        <f aca="false">SRC_MOD_012</f>
        <v>6</v>
      </c>
      <c r="S190" s="42" t="str">
        <f aca="false">IF(ISNUMBER($AF190),INDEX(IDX_SrcStat,$AF190),"—")</f>
        <v>Active</v>
      </c>
      <c r="T190" s="42" t="n">
        <f aca="false">IF(ISNUMBER($AF190),INDEX(IDX_SrcGrade,$AF190),"—")</f>
        <v>1</v>
      </c>
      <c r="U190" s="42" t="s">
        <v>3919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2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2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4392</v>
      </c>
      <c r="B191" s="224" t="s">
        <v>3880</v>
      </c>
      <c r="C191" s="28" t="s">
        <v>4367</v>
      </c>
      <c r="D191" s="28" t="s">
        <v>4393</v>
      </c>
      <c r="E191" s="6" t="s">
        <v>287</v>
      </c>
      <c r="F191" s="224" t="s">
        <v>332</v>
      </c>
      <c r="G191" s="224" t="s">
        <v>3882</v>
      </c>
      <c r="H191" s="28" t="s">
        <v>4394</v>
      </c>
      <c r="I191" s="19" t="s">
        <v>3917</v>
      </c>
      <c r="J191" s="28" t="s">
        <v>620</v>
      </c>
      <c r="K191" s="224"/>
      <c r="L191" s="224"/>
      <c r="M191" s="28" t="s">
        <v>620</v>
      </c>
      <c r="N191" s="19" t="s">
        <v>4020</v>
      </c>
      <c r="O191" s="6" t="s">
        <v>620</v>
      </c>
      <c r="P191" s="224" t="s">
        <v>1150</v>
      </c>
      <c r="Q191" s="47" t="n">
        <f aca="false">Arch!C14</f>
        <v>1</v>
      </c>
      <c r="R191" s="177" t="n">
        <f aca="false">SRC_MOD_013</f>
        <v>1</v>
      </c>
      <c r="S191" s="42" t="str">
        <f aca="false">IF(ISNUMBER($AF191),INDEX(IDX_SrcStat,$AF191),"—")</f>
        <v>Active</v>
      </c>
      <c r="T191" s="42" t="n">
        <f aca="false">IF(ISNUMBER($AF191),INDEX(IDX_SrcGrade,$AF191),"—")</f>
        <v>1</v>
      </c>
      <c r="U191" s="42" t="s">
        <v>3919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2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2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4395</v>
      </c>
      <c r="B192" s="224" t="s">
        <v>3880</v>
      </c>
      <c r="C192" s="28" t="s">
        <v>4367</v>
      </c>
      <c r="D192" s="28" t="s">
        <v>3923</v>
      </c>
      <c r="E192" s="6" t="s">
        <v>287</v>
      </c>
      <c r="F192" s="224" t="s">
        <v>332</v>
      </c>
      <c r="G192" s="224" t="s">
        <v>3882</v>
      </c>
      <c r="H192" s="28" t="s">
        <v>4394</v>
      </c>
      <c r="I192" s="19" t="s">
        <v>3917</v>
      </c>
      <c r="J192" s="28" t="s">
        <v>620</v>
      </c>
      <c r="K192" s="224"/>
      <c r="L192" s="224"/>
      <c r="M192" s="28" t="s">
        <v>620</v>
      </c>
      <c r="N192" s="19" t="s">
        <v>4020</v>
      </c>
      <c r="O192" s="6" t="s">
        <v>620</v>
      </c>
      <c r="P192" s="224" t="s">
        <v>1150</v>
      </c>
      <c r="Q192" s="47" t="n">
        <f aca="false">Arch!D14</f>
        <v>1</v>
      </c>
      <c r="R192" s="177" t="n">
        <f aca="false">SRC_MOD_013</f>
        <v>1</v>
      </c>
      <c r="S192" s="42" t="str">
        <f aca="false">IF(ISNUMBER($AF192),INDEX(IDX_SrcStat,$AF192),"—")</f>
        <v>Active</v>
      </c>
      <c r="T192" s="42" t="n">
        <f aca="false">IF(ISNUMBER($AF192),INDEX(IDX_SrcGrade,$AF192),"—")</f>
        <v>1</v>
      </c>
      <c r="U192" s="42" t="s">
        <v>3919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2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2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4396</v>
      </c>
      <c r="B193" s="224" t="s">
        <v>3880</v>
      </c>
      <c r="C193" s="28" t="s">
        <v>4367</v>
      </c>
      <c r="D193" s="28" t="s">
        <v>4397</v>
      </c>
      <c r="E193" s="6" t="s">
        <v>288</v>
      </c>
      <c r="F193" s="224" t="s">
        <v>332</v>
      </c>
      <c r="G193" s="224" t="s">
        <v>3882</v>
      </c>
      <c r="H193" s="28" t="s">
        <v>4398</v>
      </c>
      <c r="I193" s="19" t="s">
        <v>3917</v>
      </c>
      <c r="J193" s="28" t="s">
        <v>620</v>
      </c>
      <c r="K193" s="224"/>
      <c r="L193" s="224"/>
      <c r="M193" s="28" t="s">
        <v>620</v>
      </c>
      <c r="N193" s="19" t="s">
        <v>4020</v>
      </c>
      <c r="O193" s="6" t="s">
        <v>620</v>
      </c>
      <c r="P193" s="224" t="s">
        <v>3885</v>
      </c>
      <c r="Q193" s="47" t="n">
        <f aca="false">Arch!C15</f>
        <v>129280</v>
      </c>
      <c r="R193" s="177" t="n">
        <f aca="false">SRC_MOD_014</f>
        <v>129280</v>
      </c>
      <c r="S193" s="42" t="str">
        <f aca="false">IF(ISNUMBER($AF193),INDEX(IDX_SrcStat,$AF193),"—")</f>
        <v>Active</v>
      </c>
      <c r="T193" s="42" t="n">
        <f aca="false">IF(ISNUMBER($AF193),INDEX(IDX_SrcGrade,$AF193),"—")</f>
        <v>1</v>
      </c>
      <c r="U193" s="42" t="s">
        <v>3919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2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2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4399</v>
      </c>
      <c r="B194" s="224" t="s">
        <v>3880</v>
      </c>
      <c r="C194" s="28" t="s">
        <v>4367</v>
      </c>
      <c r="D194" s="28" t="s">
        <v>4400</v>
      </c>
      <c r="E194" s="6" t="s">
        <v>288</v>
      </c>
      <c r="F194" s="224" t="s">
        <v>332</v>
      </c>
      <c r="G194" s="224" t="s">
        <v>3882</v>
      </c>
      <c r="H194" s="28" t="s">
        <v>4398</v>
      </c>
      <c r="I194" s="19" t="s">
        <v>3917</v>
      </c>
      <c r="J194" s="28" t="s">
        <v>620</v>
      </c>
      <c r="K194" s="224"/>
      <c r="L194" s="224"/>
      <c r="M194" s="28" t="s">
        <v>620</v>
      </c>
      <c r="N194" s="19" t="s">
        <v>4020</v>
      </c>
      <c r="O194" s="6" t="s">
        <v>620</v>
      </c>
      <c r="P194" s="224" t="s">
        <v>3885</v>
      </c>
      <c r="Q194" s="47" t="n">
        <f aca="false">Arch!D15</f>
        <v>129280</v>
      </c>
      <c r="R194" s="177" t="n">
        <f aca="false">SRC_MOD_014</f>
        <v>129280</v>
      </c>
      <c r="S194" s="42" t="str">
        <f aca="false">IF(ISNUMBER($AF194),INDEX(IDX_SrcStat,$AF194),"—")</f>
        <v>Active</v>
      </c>
      <c r="T194" s="42" t="n">
        <f aca="false">IF(ISNUMBER($AF194),INDEX(IDX_SrcGrade,$AF194),"—")</f>
        <v>1</v>
      </c>
      <c r="U194" s="42" t="s">
        <v>3919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2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2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4401</v>
      </c>
      <c r="B195" s="224" t="s">
        <v>3880</v>
      </c>
      <c r="C195" s="28" t="s">
        <v>4367</v>
      </c>
      <c r="D195" s="28" t="s">
        <v>4402</v>
      </c>
      <c r="E195" s="19" t="s">
        <v>289</v>
      </c>
      <c r="F195" s="224" t="s">
        <v>332</v>
      </c>
      <c r="G195" s="224" t="s">
        <v>3882</v>
      </c>
      <c r="H195" s="28" t="s">
        <v>4403</v>
      </c>
      <c r="I195" s="19" t="s">
        <v>3917</v>
      </c>
      <c r="J195" s="28" t="s">
        <v>620</v>
      </c>
      <c r="K195" s="224"/>
      <c r="L195" s="224"/>
      <c r="M195" s="28" t="s">
        <v>620</v>
      </c>
      <c r="N195" s="19" t="s">
        <v>4020</v>
      </c>
      <c r="O195" s="6" t="s">
        <v>620</v>
      </c>
      <c r="P195" s="224" t="s">
        <v>3941</v>
      </c>
      <c r="Q195" s="187" t="n">
        <f aca="false">Arch!C16</f>
        <v>0.512</v>
      </c>
      <c r="R195" s="177" t="n">
        <f aca="false">SRC_MOD_015</f>
        <v>0.512</v>
      </c>
      <c r="S195" s="42" t="str">
        <f aca="false">IF(ISNUMBER($AF195),INDEX(IDX_SrcStat,$AF195),"—")</f>
        <v>Active</v>
      </c>
      <c r="T195" s="42" t="n">
        <f aca="false">IF(ISNUMBER($AF195),INDEX(IDX_SrcGrade,$AF195),"—")</f>
        <v>1</v>
      </c>
      <c r="U195" s="42" t="s">
        <v>3919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2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2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4404</v>
      </c>
      <c r="B196" s="224" t="s">
        <v>3880</v>
      </c>
      <c r="C196" s="28" t="s">
        <v>4367</v>
      </c>
      <c r="D196" s="28" t="s">
        <v>3929</v>
      </c>
      <c r="E196" s="19" t="s">
        <v>289</v>
      </c>
      <c r="F196" s="224" t="s">
        <v>332</v>
      </c>
      <c r="G196" s="224" t="s">
        <v>3882</v>
      </c>
      <c r="H196" s="28" t="s">
        <v>4403</v>
      </c>
      <c r="I196" s="19" t="s">
        <v>3917</v>
      </c>
      <c r="J196" s="28" t="s">
        <v>620</v>
      </c>
      <c r="K196" s="224"/>
      <c r="L196" s="224"/>
      <c r="M196" s="28" t="s">
        <v>620</v>
      </c>
      <c r="N196" s="19" t="s">
        <v>4020</v>
      </c>
      <c r="O196" s="6" t="s">
        <v>620</v>
      </c>
      <c r="P196" s="224" t="s">
        <v>3941</v>
      </c>
      <c r="Q196" s="187" t="n">
        <f aca="false">Arch!D16</f>
        <v>0.492</v>
      </c>
      <c r="R196" s="177" t="n">
        <f aca="false">SRC_MOD_015</f>
        <v>0.512</v>
      </c>
      <c r="S196" s="42" t="str">
        <f aca="false">IF(ISNUMBER($AF196),INDEX(IDX_SrcStat,$AF196),"—")</f>
        <v>Active</v>
      </c>
      <c r="T196" s="42" t="n">
        <f aca="false">IF(ISNUMBER($AF196),INDEX(IDX_SrcGrade,$AF196),"—")</f>
        <v>1</v>
      </c>
      <c r="U196" s="42" t="s">
        <v>3919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2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2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4405</v>
      </c>
      <c r="B197" s="224" t="s">
        <v>3880</v>
      </c>
      <c r="C197" s="28" t="s">
        <v>4367</v>
      </c>
      <c r="D197" s="28" t="s">
        <v>4406</v>
      </c>
      <c r="E197" s="19" t="s">
        <v>294</v>
      </c>
      <c r="F197" s="224" t="s">
        <v>332</v>
      </c>
      <c r="G197" s="224" t="s">
        <v>3882</v>
      </c>
      <c r="H197" s="28" t="s">
        <v>4407</v>
      </c>
      <c r="I197" s="19" t="s">
        <v>3917</v>
      </c>
      <c r="J197" s="28" t="s">
        <v>620</v>
      </c>
      <c r="K197" s="224"/>
      <c r="L197" s="224"/>
      <c r="M197" s="28" t="s">
        <v>620</v>
      </c>
      <c r="N197" s="19" t="s">
        <v>4020</v>
      </c>
      <c r="O197" s="6" t="s">
        <v>620</v>
      </c>
      <c r="P197" s="224" t="s">
        <v>1150</v>
      </c>
      <c r="Q197" s="47" t="n">
        <f aca="false">Arch!C18</f>
        <v>128</v>
      </c>
      <c r="R197" s="177" t="n">
        <f aca="false">SRC_MOD_016</f>
        <v>128</v>
      </c>
      <c r="S197" s="42" t="str">
        <f aca="false">IF(ISNUMBER($AF197),INDEX(IDX_SrcStat,$AF197),"—")</f>
        <v>Active</v>
      </c>
      <c r="T197" s="42" t="n">
        <f aca="false">IF(ISNUMBER($AF197),INDEX(IDX_SrcGrade,$AF197),"—")</f>
        <v>1</v>
      </c>
      <c r="U197" s="42" t="s">
        <v>3919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2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2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4408</v>
      </c>
      <c r="B198" s="224" t="s">
        <v>3880</v>
      </c>
      <c r="C198" s="28" t="s">
        <v>4367</v>
      </c>
      <c r="D198" s="28" t="s">
        <v>3943</v>
      </c>
      <c r="E198" s="19" t="s">
        <v>294</v>
      </c>
      <c r="F198" s="224" t="s">
        <v>332</v>
      </c>
      <c r="G198" s="224" t="s">
        <v>3882</v>
      </c>
      <c r="H198" s="28" t="s">
        <v>4407</v>
      </c>
      <c r="I198" s="19" t="s">
        <v>3917</v>
      </c>
      <c r="J198" s="28" t="s">
        <v>620</v>
      </c>
      <c r="K198" s="224"/>
      <c r="L198" s="224"/>
      <c r="M198" s="28" t="s">
        <v>620</v>
      </c>
      <c r="N198" s="19" t="s">
        <v>4020</v>
      </c>
      <c r="O198" s="6" t="s">
        <v>620</v>
      </c>
      <c r="P198" s="224" t="s">
        <v>1150</v>
      </c>
      <c r="Q198" s="47" t="n">
        <f aca="false">Arch!D18</f>
        <v>128</v>
      </c>
      <c r="R198" s="177" t="n">
        <f aca="false">SRC_MOD_016</f>
        <v>128</v>
      </c>
      <c r="S198" s="42" t="str">
        <f aca="false">IF(ISNUMBER($AF198),INDEX(IDX_SrcStat,$AF198),"—")</f>
        <v>Active</v>
      </c>
      <c r="T198" s="42" t="n">
        <f aca="false">IF(ISNUMBER($AF198),INDEX(IDX_SrcGrade,$AF198),"—")</f>
        <v>1</v>
      </c>
      <c r="U198" s="42" t="s">
        <v>3919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2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2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4409</v>
      </c>
      <c r="B199" s="224" t="s">
        <v>3880</v>
      </c>
      <c r="C199" s="28" t="s">
        <v>4367</v>
      </c>
      <c r="D199" s="28" t="s">
        <v>4410</v>
      </c>
      <c r="E199" s="19" t="s">
        <v>296</v>
      </c>
      <c r="F199" s="224" t="s">
        <v>332</v>
      </c>
      <c r="G199" s="224" t="s">
        <v>3882</v>
      </c>
      <c r="H199" s="28" t="s">
        <v>4411</v>
      </c>
      <c r="I199" s="19" t="s">
        <v>3917</v>
      </c>
      <c r="J199" s="28" t="s">
        <v>620</v>
      </c>
      <c r="K199" s="224"/>
      <c r="L199" s="224"/>
      <c r="M199" s="28" t="s">
        <v>620</v>
      </c>
      <c r="N199" s="19" t="s">
        <v>4020</v>
      </c>
      <c r="O199" s="6" t="s">
        <v>620</v>
      </c>
      <c r="P199" s="224" t="s">
        <v>1150</v>
      </c>
      <c r="Q199" s="47" t="n">
        <f aca="false">Arch!C19</f>
        <v>128</v>
      </c>
      <c r="R199" s="177" t="n">
        <f aca="false">SRC_MOD_017</f>
        <v>128</v>
      </c>
      <c r="S199" s="42" t="str">
        <f aca="false">IF(ISNUMBER($AF199),INDEX(IDX_SrcStat,$AF199),"—")</f>
        <v>Active</v>
      </c>
      <c r="T199" s="42" t="n">
        <f aca="false">IF(ISNUMBER($AF199),INDEX(IDX_SrcGrade,$AF199),"—")</f>
        <v>1</v>
      </c>
      <c r="U199" s="42" t="s">
        <v>3919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2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2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4412</v>
      </c>
      <c r="B200" s="224" t="s">
        <v>3880</v>
      </c>
      <c r="C200" s="28" t="s">
        <v>4367</v>
      </c>
      <c r="D200" s="28" t="s">
        <v>3949</v>
      </c>
      <c r="E200" s="19" t="s">
        <v>296</v>
      </c>
      <c r="F200" s="224" t="s">
        <v>332</v>
      </c>
      <c r="G200" s="224" t="s">
        <v>3882</v>
      </c>
      <c r="H200" s="28" t="s">
        <v>4411</v>
      </c>
      <c r="I200" s="19" t="s">
        <v>3917</v>
      </c>
      <c r="J200" s="28" t="s">
        <v>620</v>
      </c>
      <c r="K200" s="224"/>
      <c r="L200" s="224"/>
      <c r="M200" s="28" t="s">
        <v>620</v>
      </c>
      <c r="N200" s="19" t="s">
        <v>4020</v>
      </c>
      <c r="O200" s="6" t="s">
        <v>620</v>
      </c>
      <c r="P200" s="224" t="s">
        <v>1150</v>
      </c>
      <c r="Q200" s="47" t="n">
        <f aca="false">Arch!D19</f>
        <v>128</v>
      </c>
      <c r="R200" s="177" t="n">
        <f aca="false">SRC_MOD_017</f>
        <v>128</v>
      </c>
      <c r="S200" s="42" t="str">
        <f aca="false">IF(ISNUMBER($AF200),INDEX(IDX_SrcStat,$AF200),"—")</f>
        <v>Active</v>
      </c>
      <c r="T200" s="42" t="n">
        <f aca="false">IF(ISNUMBER($AF200),INDEX(IDX_SrcGrade,$AF200),"—")</f>
        <v>1</v>
      </c>
      <c r="U200" s="42" t="s">
        <v>3919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2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2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4413</v>
      </c>
      <c r="B201" s="224" t="s">
        <v>3880</v>
      </c>
      <c r="C201" s="28" t="s">
        <v>4367</v>
      </c>
      <c r="D201" s="28" t="s">
        <v>3895</v>
      </c>
      <c r="E201" s="6" t="s">
        <v>279</v>
      </c>
      <c r="F201" s="224" t="s">
        <v>332</v>
      </c>
      <c r="G201" s="224" t="s">
        <v>3882</v>
      </c>
      <c r="H201" s="28" t="s">
        <v>4414</v>
      </c>
      <c r="I201" s="19" t="s">
        <v>3917</v>
      </c>
      <c r="J201" s="28" t="s">
        <v>620</v>
      </c>
      <c r="K201" s="224"/>
      <c r="L201" s="224"/>
      <c r="M201" s="28" t="s">
        <v>620</v>
      </c>
      <c r="N201" s="19" t="s">
        <v>4020</v>
      </c>
      <c r="O201" s="6" t="s">
        <v>620</v>
      </c>
      <c r="P201" s="224" t="s">
        <v>3885</v>
      </c>
      <c r="Q201" s="47" t="n">
        <f aca="false">Arch!D9</f>
        <v>7168</v>
      </c>
      <c r="R201" s="177" t="n">
        <f aca="false">SRC_MOD_004</f>
        <v>7168</v>
      </c>
      <c r="S201" s="42" t="str">
        <f aca="false">IF(ISNUMBER($AF201),INDEX(IDX_SrcStat,$AF201),"—")</f>
        <v>Active</v>
      </c>
      <c r="T201" s="42" t="n">
        <f aca="false">IF(ISNUMBER($AF201),INDEX(IDX_SrcGrade,$AF201),"—")</f>
        <v>3</v>
      </c>
      <c r="U201" s="42" t="s">
        <v>3919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2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2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4415</v>
      </c>
      <c r="B202" s="224" t="s">
        <v>3880</v>
      </c>
      <c r="C202" s="28" t="s">
        <v>4367</v>
      </c>
      <c r="D202" s="28" t="s">
        <v>3900</v>
      </c>
      <c r="E202" s="6" t="s">
        <v>281</v>
      </c>
      <c r="F202" s="224" t="s">
        <v>332</v>
      </c>
      <c r="G202" s="224" t="s">
        <v>3882</v>
      </c>
      <c r="H202" s="28" t="s">
        <v>4416</v>
      </c>
      <c r="I202" s="19" t="s">
        <v>3917</v>
      </c>
      <c r="J202" s="28" t="s">
        <v>620</v>
      </c>
      <c r="K202" s="224"/>
      <c r="L202" s="224"/>
      <c r="M202" s="28" t="s">
        <v>620</v>
      </c>
      <c r="N202" s="19" t="s">
        <v>4020</v>
      </c>
      <c r="O202" s="6" t="s">
        <v>620</v>
      </c>
      <c r="P202" s="224" t="s">
        <v>3941</v>
      </c>
      <c r="Q202" s="47" t="n">
        <f aca="false">Arch!D10</f>
        <v>128</v>
      </c>
      <c r="R202" s="177" t="n">
        <f aca="false">SRC_MOD_008</f>
        <v>128</v>
      </c>
      <c r="S202" s="42" t="str">
        <f aca="false">IF(ISNUMBER($AF202),INDEX(IDX_SrcStat,$AF202),"—")</f>
        <v>Active</v>
      </c>
      <c r="T202" s="42" t="n">
        <f aca="false">IF(ISNUMBER($AF202),INDEX(IDX_SrcGrade,$AF202),"—")</f>
        <v>3</v>
      </c>
      <c r="U202" s="42" t="s">
        <v>3919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2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2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4417</v>
      </c>
      <c r="B203" s="224" t="s">
        <v>3880</v>
      </c>
      <c r="C203" s="28" t="s">
        <v>4367</v>
      </c>
      <c r="D203" s="28" t="s">
        <v>4072</v>
      </c>
      <c r="E203" s="6" t="s">
        <v>279</v>
      </c>
      <c r="F203" s="224" t="s">
        <v>332</v>
      </c>
      <c r="G203" s="224" t="s">
        <v>3882</v>
      </c>
      <c r="H203" s="28" t="s">
        <v>4418</v>
      </c>
      <c r="I203" s="19" t="s">
        <v>3917</v>
      </c>
      <c r="J203" s="28" t="s">
        <v>620</v>
      </c>
      <c r="K203" s="224"/>
      <c r="L203" s="224"/>
      <c r="M203" s="28" t="s">
        <v>620</v>
      </c>
      <c r="N203" s="19" t="s">
        <v>4419</v>
      </c>
      <c r="O203" s="6" t="s">
        <v>620</v>
      </c>
      <c r="P203" s="224" t="s">
        <v>3885</v>
      </c>
      <c r="Q203" s="47" t="n">
        <f aca="false">Arch!C9</f>
        <v>4096</v>
      </c>
      <c r="R203" s="177" t="n">
        <f aca="false">SRC_MOD_052</f>
        <v>4096</v>
      </c>
      <c r="S203" s="42" t="str">
        <f aca="false">IF(ISNUMBER($AF203),INDEX(IDX_SrcStat,$AF203),"—")</f>
        <v>Active</v>
      </c>
      <c r="T203" s="42" t="n">
        <f aca="false">IF(ISNUMBER($AF203),INDEX(IDX_SrcGrade,$AF203),"—")</f>
        <v>1</v>
      </c>
      <c r="U203" s="42" t="s">
        <v>3919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2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2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4420</v>
      </c>
      <c r="B204" s="224" t="s">
        <v>3880</v>
      </c>
      <c r="C204" s="28" t="s">
        <v>4367</v>
      </c>
      <c r="D204" s="28" t="s">
        <v>4092</v>
      </c>
      <c r="E204" s="6" t="s">
        <v>281</v>
      </c>
      <c r="F204" s="224" t="s">
        <v>332</v>
      </c>
      <c r="G204" s="224" t="s">
        <v>3882</v>
      </c>
      <c r="H204" s="28" t="s">
        <v>4421</v>
      </c>
      <c r="I204" s="19" t="s">
        <v>3917</v>
      </c>
      <c r="J204" s="28" t="s">
        <v>620</v>
      </c>
      <c r="K204" s="226"/>
      <c r="L204" s="226"/>
      <c r="M204" s="28" t="s">
        <v>620</v>
      </c>
      <c r="N204" s="225" t="str">
        <f aca="false">Arch!$G$10</f>
        <v>V4-Pro 128；V4-Flash 64（官方 config.json num_attention_heads，v5.13 讀原文）；Astra [Assumed]</v>
      </c>
      <c r="O204" s="6" t="s">
        <v>4422</v>
      </c>
      <c r="P204" s="224" t="s">
        <v>3941</v>
      </c>
      <c r="Q204" s="47" t="n">
        <f aca="false">Arch!C10</f>
        <v>64</v>
      </c>
      <c r="R204" s="177" t="n">
        <f aca="false">SRC_MOD_053</f>
        <v>64</v>
      </c>
      <c r="S204" s="42" t="str">
        <f aca="false">IF(ISNUMBER($AF204),INDEX(IDX_SrcStat,$AF204),"—")</f>
        <v>Active</v>
      </c>
      <c r="T204" s="42" t="n">
        <f aca="false">IF(ISNUMBER($AF204),INDEX(IDX_SrcGrade,$AF204),"—")</f>
        <v>1</v>
      </c>
      <c r="U204" s="42" t="s">
        <v>3919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2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2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4423</v>
      </c>
      <c r="B205" s="224" t="s">
        <v>3880</v>
      </c>
      <c r="C205" s="28" t="s">
        <v>4367</v>
      </c>
      <c r="D205" s="28" t="s">
        <v>4424</v>
      </c>
      <c r="E205" s="19" t="s">
        <v>4425</v>
      </c>
      <c r="F205" s="224" t="s">
        <v>332</v>
      </c>
      <c r="G205" s="224" t="s">
        <v>3882</v>
      </c>
      <c r="H205" s="28" t="s">
        <v>4426</v>
      </c>
      <c r="I205" s="19" t="s">
        <v>4225</v>
      </c>
      <c r="J205" s="28" t="s">
        <v>620</v>
      </c>
      <c r="K205" s="224"/>
      <c r="L205" s="224"/>
      <c r="M205" s="28" t="s">
        <v>620</v>
      </c>
      <c r="N205" s="19" t="s">
        <v>4020</v>
      </c>
      <c r="O205" s="6" t="s">
        <v>620</v>
      </c>
      <c r="P205" s="224" t="s">
        <v>3885</v>
      </c>
      <c r="Q205" s="47" t="n">
        <f aca="false">Arch!C17</f>
        <v>4224</v>
      </c>
      <c r="R205" s="177" t="n">
        <f aca="false">SRC_MOD_018</f>
        <v>1024</v>
      </c>
      <c r="S205" s="42" t="str">
        <f aca="false">IF(ISNUMBER($AF205),INDEX(IDX_SrcStat,$AF205),"—")</f>
        <v>Active</v>
      </c>
      <c r="T205" s="42" t="n">
        <f aca="false">IF(ISNUMBER($AF205),INDEX(IDX_SrcGrade,$AF205),"—")</f>
        <v>3</v>
      </c>
      <c r="U205" s="42" t="s">
        <v>3919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2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2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4427</v>
      </c>
      <c r="B206" s="224" t="s">
        <v>3880</v>
      </c>
      <c r="C206" s="28" t="s">
        <v>4367</v>
      </c>
      <c r="D206" s="28" t="s">
        <v>3935</v>
      </c>
      <c r="E206" s="19" t="s">
        <v>4425</v>
      </c>
      <c r="F206" s="224" t="s">
        <v>332</v>
      </c>
      <c r="G206" s="224" t="s">
        <v>3882</v>
      </c>
      <c r="H206" s="28" t="s">
        <v>4426</v>
      </c>
      <c r="I206" s="19" t="s">
        <v>4225</v>
      </c>
      <c r="J206" s="28" t="s">
        <v>620</v>
      </c>
      <c r="K206" s="224"/>
      <c r="L206" s="224"/>
      <c r="M206" s="28" t="s">
        <v>620</v>
      </c>
      <c r="N206" s="19" t="s">
        <v>4020</v>
      </c>
      <c r="O206" s="6" t="s">
        <v>620</v>
      </c>
      <c r="P206" s="224" t="s">
        <v>3885</v>
      </c>
      <c r="Q206" s="47" t="n">
        <f aca="false">Arch!D17</f>
        <v>4224</v>
      </c>
      <c r="R206" s="177" t="n">
        <f aca="false">SRC_MOD_018</f>
        <v>1024</v>
      </c>
      <c r="S206" s="42" t="str">
        <f aca="false">IF(ISNUMBER($AF206),INDEX(IDX_SrcStat,$AF206),"—")</f>
        <v>Active</v>
      </c>
      <c r="T206" s="42" t="n">
        <f aca="false">IF(ISNUMBER($AF206),INDEX(IDX_SrcGrade,$AF206),"—")</f>
        <v>3</v>
      </c>
      <c r="U206" s="42" t="s">
        <v>3919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2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2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4428</v>
      </c>
      <c r="B207" s="224" t="s">
        <v>3880</v>
      </c>
      <c r="C207" s="28" t="s">
        <v>4367</v>
      </c>
      <c r="D207" s="28" t="s">
        <v>3733</v>
      </c>
      <c r="E207" s="19" t="s">
        <v>270</v>
      </c>
      <c r="F207" s="28" t="s">
        <v>100</v>
      </c>
      <c r="G207" s="224" t="s">
        <v>3882</v>
      </c>
      <c r="H207" s="28" t="s">
        <v>620</v>
      </c>
      <c r="I207" s="6" t="s">
        <v>620</v>
      </c>
      <c r="J207" s="28" t="s">
        <v>620</v>
      </c>
      <c r="K207" s="226" t="n">
        <v>2000</v>
      </c>
      <c r="L207" s="226" t="n">
        <v>10000</v>
      </c>
      <c r="M207" s="28" t="s">
        <v>4429</v>
      </c>
      <c r="N207" s="225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620</v>
      </c>
      <c r="P207" s="224" t="s">
        <v>1151</v>
      </c>
      <c r="Q207" s="47" t="n">
        <f aca="false">Arch!E6</f>
        <v>4000</v>
      </c>
      <c r="R207" s="28" t="s">
        <v>620</v>
      </c>
      <c r="S207" s="42" t="str">
        <f aca="false">IF(ISNUMBER($AF207),INDEX(IDX_SrcStat,$AF207),"—")</f>
        <v>—</v>
      </c>
      <c r="T207" s="42" t="str">
        <f aca="false">IF(ISNUMBER($AF207),INDEX(IDX_SrcGrade,$AF207),"—")</f>
        <v>—</v>
      </c>
      <c r="U207" s="42" t="s">
        <v>3886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2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2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4430</v>
      </c>
      <c r="B208" s="224" t="s">
        <v>3880</v>
      </c>
      <c r="C208" s="28" t="s">
        <v>4367</v>
      </c>
      <c r="D208" s="28" t="s">
        <v>3736</v>
      </c>
      <c r="E208" s="19" t="s">
        <v>274</v>
      </c>
      <c r="F208" s="28" t="s">
        <v>100</v>
      </c>
      <c r="G208" s="224" t="s">
        <v>3882</v>
      </c>
      <c r="H208" s="28" t="s">
        <v>620</v>
      </c>
      <c r="I208" s="6" t="s">
        <v>620</v>
      </c>
      <c r="J208" s="28" t="s">
        <v>620</v>
      </c>
      <c r="K208" s="226" t="n">
        <v>60</v>
      </c>
      <c r="L208" s="226" t="n">
        <v>250</v>
      </c>
      <c r="M208" s="28" t="s">
        <v>4431</v>
      </c>
      <c r="N208" s="225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620</v>
      </c>
      <c r="P208" s="224" t="s">
        <v>1151</v>
      </c>
      <c r="Q208" s="47" t="n">
        <f aca="false">Arch!E7</f>
        <v>180</v>
      </c>
      <c r="R208" s="28" t="s">
        <v>620</v>
      </c>
      <c r="S208" s="42" t="str">
        <f aca="false">IF(ISNUMBER($AF208),INDEX(IDX_SrcStat,$AF208),"—")</f>
        <v>—</v>
      </c>
      <c r="T208" s="42" t="str">
        <f aca="false">IF(ISNUMBER($AF208),INDEX(IDX_SrcGrade,$AF208),"—")</f>
        <v>—</v>
      </c>
      <c r="U208" s="42" t="s">
        <v>3886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2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2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4432</v>
      </c>
      <c r="B209" s="224" t="s">
        <v>3880</v>
      </c>
      <c r="C209" s="28" t="s">
        <v>4367</v>
      </c>
      <c r="D209" s="28" t="s">
        <v>3739</v>
      </c>
      <c r="E209" s="19" t="s">
        <v>276</v>
      </c>
      <c r="F209" s="28" t="s">
        <v>100</v>
      </c>
      <c r="G209" s="224" t="s">
        <v>3882</v>
      </c>
      <c r="H209" s="28" t="s">
        <v>620</v>
      </c>
      <c r="I209" s="6" t="s">
        <v>620</v>
      </c>
      <c r="J209" s="28" t="s">
        <v>620</v>
      </c>
      <c r="K209" s="226" t="n">
        <v>80</v>
      </c>
      <c r="L209" s="226" t="n">
        <v>160</v>
      </c>
      <c r="M209" s="28" t="s">
        <v>4433</v>
      </c>
      <c r="N209" s="6" t="s">
        <v>4434</v>
      </c>
      <c r="O209" s="6" t="s">
        <v>620</v>
      </c>
      <c r="P209" s="224" t="s">
        <v>1151</v>
      </c>
      <c r="Q209" s="47" t="n">
        <f aca="false">Arch!E8</f>
        <v>100</v>
      </c>
      <c r="R209" s="28" t="s">
        <v>620</v>
      </c>
      <c r="S209" s="42" t="str">
        <f aca="false">IF(ISNUMBER($AF209),INDEX(IDX_SrcStat,$AF209),"—")</f>
        <v>—</v>
      </c>
      <c r="T209" s="42" t="str">
        <f aca="false">IF(ISNUMBER($AF209),INDEX(IDX_SrcGrade,$AF209),"—")</f>
        <v>—</v>
      </c>
      <c r="U209" s="42" t="s">
        <v>3886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2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2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4435</v>
      </c>
      <c r="B210" s="224" t="s">
        <v>3880</v>
      </c>
      <c r="C210" s="28" t="s">
        <v>4367</v>
      </c>
      <c r="D210" s="28" t="s">
        <v>3742</v>
      </c>
      <c r="E210" s="6" t="s">
        <v>279</v>
      </c>
      <c r="F210" s="28" t="s">
        <v>100</v>
      </c>
      <c r="G210" s="224" t="s">
        <v>3882</v>
      </c>
      <c r="H210" s="28" t="s">
        <v>620</v>
      </c>
      <c r="I210" s="6" t="s">
        <v>620</v>
      </c>
      <c r="J210" s="28" t="s">
        <v>620</v>
      </c>
      <c r="K210" s="226" t="n">
        <v>8192</v>
      </c>
      <c r="L210" s="226" t="n">
        <v>16384</v>
      </c>
      <c r="M210" s="28" t="s">
        <v>4436</v>
      </c>
      <c r="N210" s="6" t="s">
        <v>4437</v>
      </c>
      <c r="O210" s="6" t="s">
        <v>620</v>
      </c>
      <c r="P210" s="224" t="s">
        <v>3885</v>
      </c>
      <c r="Q210" s="47" t="n">
        <f aca="false">Arch!E9</f>
        <v>12288</v>
      </c>
      <c r="R210" s="28" t="s">
        <v>620</v>
      </c>
      <c r="S210" s="42" t="str">
        <f aca="false">IF(ISNUMBER($AF210),INDEX(IDX_SrcStat,$AF210),"—")</f>
        <v>—</v>
      </c>
      <c r="T210" s="42" t="str">
        <f aca="false">IF(ISNUMBER($AF210),INDEX(IDX_SrcGrade,$AF210),"—")</f>
        <v>—</v>
      </c>
      <c r="U210" s="42" t="s">
        <v>3886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2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2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4438</v>
      </c>
      <c r="B211" s="224" t="s">
        <v>3880</v>
      </c>
      <c r="C211" s="28" t="s">
        <v>4367</v>
      </c>
      <c r="D211" s="28" t="s">
        <v>3745</v>
      </c>
      <c r="E211" s="6" t="s">
        <v>281</v>
      </c>
      <c r="F211" s="28" t="s">
        <v>100</v>
      </c>
      <c r="G211" s="224" t="s">
        <v>3882</v>
      </c>
      <c r="H211" s="28" t="s">
        <v>620</v>
      </c>
      <c r="I211" s="6" t="s">
        <v>620</v>
      </c>
      <c r="J211" s="28" t="s">
        <v>620</v>
      </c>
      <c r="K211" s="226" t="n">
        <v>64</v>
      </c>
      <c r="L211" s="226" t="n">
        <v>128</v>
      </c>
      <c r="M211" s="28" t="s">
        <v>4439</v>
      </c>
      <c r="N211" s="6" t="s">
        <v>4437</v>
      </c>
      <c r="O211" s="6" t="s">
        <v>620</v>
      </c>
      <c r="P211" s="224" t="s">
        <v>3941</v>
      </c>
      <c r="Q211" s="47" t="n">
        <f aca="false">Arch!E10</f>
        <v>96</v>
      </c>
      <c r="R211" s="28" t="s">
        <v>620</v>
      </c>
      <c r="S211" s="42" t="str">
        <f aca="false">IF(ISNUMBER($AF211),INDEX(IDX_SrcStat,$AF211),"—")</f>
        <v>—</v>
      </c>
      <c r="T211" s="42" t="str">
        <f aca="false">IF(ISNUMBER($AF211),INDEX(IDX_SrcGrade,$AF211),"—")</f>
        <v>—</v>
      </c>
      <c r="U211" s="42" t="s">
        <v>3886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2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2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4440</v>
      </c>
      <c r="B212" s="224" t="s">
        <v>3880</v>
      </c>
      <c r="C212" s="28" t="s">
        <v>4367</v>
      </c>
      <c r="D212" s="28" t="s">
        <v>3748</v>
      </c>
      <c r="E212" s="6" t="s">
        <v>283</v>
      </c>
      <c r="F212" s="28" t="s">
        <v>100</v>
      </c>
      <c r="G212" s="224" t="s">
        <v>3882</v>
      </c>
      <c r="H212" s="28" t="s">
        <v>620</v>
      </c>
      <c r="I212" s="6" t="s">
        <v>620</v>
      </c>
      <c r="J212" s="28" t="s">
        <v>620</v>
      </c>
      <c r="K212" s="226" t="n">
        <v>128</v>
      </c>
      <c r="L212" s="226" t="n">
        <v>192</v>
      </c>
      <c r="M212" s="28" t="s">
        <v>4441</v>
      </c>
      <c r="N212" s="6" t="s">
        <v>4437</v>
      </c>
      <c r="O212" s="6" t="s">
        <v>620</v>
      </c>
      <c r="P212" s="224" t="s">
        <v>3941</v>
      </c>
      <c r="Q212" s="47" t="n">
        <f aca="false">Arch!E11</f>
        <v>128</v>
      </c>
      <c r="R212" s="28" t="s">
        <v>620</v>
      </c>
      <c r="S212" s="42" t="str">
        <f aca="false">IF(ISNUMBER($AF212),INDEX(IDX_SrcStat,$AF212),"—")</f>
        <v>—</v>
      </c>
      <c r="T212" s="42" t="str">
        <f aca="false">IF(ISNUMBER($AF212),INDEX(IDX_SrcGrade,$AF212),"—")</f>
        <v>—</v>
      </c>
      <c r="U212" s="42" t="s">
        <v>3886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2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2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4442</v>
      </c>
      <c r="B213" s="224" t="s">
        <v>3880</v>
      </c>
      <c r="C213" s="28" t="s">
        <v>4367</v>
      </c>
      <c r="D213" s="28" t="s">
        <v>3751</v>
      </c>
      <c r="E213" s="6" t="s">
        <v>285</v>
      </c>
      <c r="F213" s="28" t="s">
        <v>100</v>
      </c>
      <c r="G213" s="224" t="s">
        <v>3882</v>
      </c>
      <c r="H213" s="28" t="s">
        <v>620</v>
      </c>
      <c r="I213" s="6" t="s">
        <v>620</v>
      </c>
      <c r="J213" s="28" t="s">
        <v>620</v>
      </c>
      <c r="K213" s="226" t="n">
        <v>256</v>
      </c>
      <c r="L213" s="226" t="n">
        <v>1024</v>
      </c>
      <c r="M213" s="28" t="s">
        <v>4443</v>
      </c>
      <c r="N213" s="6" t="s">
        <v>4444</v>
      </c>
      <c r="O213" s="6" t="s">
        <v>620</v>
      </c>
      <c r="P213" s="224" t="s">
        <v>3941</v>
      </c>
      <c r="Q213" s="47" t="n">
        <f aca="false">Arch!E12</f>
        <v>512</v>
      </c>
      <c r="R213" s="28" t="s">
        <v>620</v>
      </c>
      <c r="S213" s="42" t="str">
        <f aca="false">IF(ISNUMBER($AF213),INDEX(IDX_SrcStat,$AF213),"—")</f>
        <v>—</v>
      </c>
      <c r="T213" s="42" t="str">
        <f aca="false">IF(ISNUMBER($AF213),INDEX(IDX_SrcGrade,$AF213),"—")</f>
        <v>—</v>
      </c>
      <c r="U213" s="42" t="s">
        <v>3886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2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2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4445</v>
      </c>
      <c r="B214" s="224" t="s">
        <v>3880</v>
      </c>
      <c r="C214" s="28" t="s">
        <v>4367</v>
      </c>
      <c r="D214" s="28" t="s">
        <v>3753</v>
      </c>
      <c r="E214" s="19" t="s">
        <v>4389</v>
      </c>
      <c r="F214" s="28" t="s">
        <v>100</v>
      </c>
      <c r="G214" s="224" t="s">
        <v>3882</v>
      </c>
      <c r="H214" s="28" t="s">
        <v>620</v>
      </c>
      <c r="I214" s="6" t="s">
        <v>620</v>
      </c>
      <c r="J214" s="28" t="s">
        <v>620</v>
      </c>
      <c r="K214" s="226" t="n">
        <v>8</v>
      </c>
      <c r="L214" s="226" t="n">
        <v>32</v>
      </c>
      <c r="M214" s="28" t="s">
        <v>4446</v>
      </c>
      <c r="N214" s="6" t="s">
        <v>4444</v>
      </c>
      <c r="O214" s="6" t="s">
        <v>620</v>
      </c>
      <c r="P214" s="224" t="s">
        <v>3941</v>
      </c>
      <c r="Q214" s="47" t="n">
        <f aca="false">Arch!E13</f>
        <v>16</v>
      </c>
      <c r="R214" s="28" t="s">
        <v>620</v>
      </c>
      <c r="S214" s="42" t="str">
        <f aca="false">IF(ISNUMBER($AF214),INDEX(IDX_SrcStat,$AF214),"—")</f>
        <v>—</v>
      </c>
      <c r="T214" s="42" t="str">
        <f aca="false">IF(ISNUMBER($AF214),INDEX(IDX_SrcGrade,$AF214),"—")</f>
        <v>—</v>
      </c>
      <c r="U214" s="42" t="s">
        <v>3886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2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2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4447</v>
      </c>
      <c r="B215" s="224" t="s">
        <v>3880</v>
      </c>
      <c r="C215" s="28" t="s">
        <v>4367</v>
      </c>
      <c r="D215" s="28" t="s">
        <v>4448</v>
      </c>
      <c r="E215" s="6" t="s">
        <v>288</v>
      </c>
      <c r="F215" s="28" t="s">
        <v>100</v>
      </c>
      <c r="G215" s="224" t="s">
        <v>3882</v>
      </c>
      <c r="H215" s="28" t="s">
        <v>620</v>
      </c>
      <c r="I215" s="6" t="s">
        <v>620</v>
      </c>
      <c r="J215" s="28" t="s">
        <v>620</v>
      </c>
      <c r="K215" s="226" t="n">
        <v>128000</v>
      </c>
      <c r="L215" s="226" t="n">
        <v>262144</v>
      </c>
      <c r="M215" s="28" t="s">
        <v>4449</v>
      </c>
      <c r="N215" s="6" t="s">
        <v>4437</v>
      </c>
      <c r="O215" s="6" t="s">
        <v>620</v>
      </c>
      <c r="P215" s="224" t="s">
        <v>3885</v>
      </c>
      <c r="Q215" s="47" t="n">
        <f aca="false">Arch!E15</f>
        <v>200000</v>
      </c>
      <c r="R215" s="28" t="s">
        <v>620</v>
      </c>
      <c r="S215" s="42" t="str">
        <f aca="false">IF(ISNUMBER($AF215),INDEX(IDX_SrcStat,$AF215),"—")</f>
        <v>—</v>
      </c>
      <c r="T215" s="42" t="str">
        <f aca="false">IF(ISNUMBER($AF215),INDEX(IDX_SrcGrade,$AF215),"—")</f>
        <v>—</v>
      </c>
      <c r="U215" s="42" t="s">
        <v>3886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2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2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4450</v>
      </c>
      <c r="B216" s="224" t="s">
        <v>3880</v>
      </c>
      <c r="C216" s="28" t="s">
        <v>4367</v>
      </c>
      <c r="D216" s="28" t="s">
        <v>3921</v>
      </c>
      <c r="E216" s="6" t="s">
        <v>287</v>
      </c>
      <c r="F216" s="28" t="s">
        <v>100</v>
      </c>
      <c r="G216" s="224" t="s">
        <v>3882</v>
      </c>
      <c r="H216" s="28" t="s">
        <v>620</v>
      </c>
      <c r="I216" s="6" t="s">
        <v>620</v>
      </c>
      <c r="J216" s="28" t="s">
        <v>620</v>
      </c>
      <c r="K216" s="224"/>
      <c r="L216" s="224"/>
      <c r="M216" s="224" t="s">
        <v>3778</v>
      </c>
      <c r="N216" s="6" t="s">
        <v>4451</v>
      </c>
      <c r="O216" s="6" t="s">
        <v>620</v>
      </c>
      <c r="P216" s="224" t="s">
        <v>1150</v>
      </c>
      <c r="Q216" s="47" t="n">
        <f aca="false">Arch!E14</f>
        <v>1</v>
      </c>
      <c r="R216" s="28" t="s">
        <v>620</v>
      </c>
      <c r="S216" s="42" t="str">
        <f aca="false">IF(ISNUMBER($AF216),INDEX(IDX_SrcStat,$AF216),"—")</f>
        <v>—</v>
      </c>
      <c r="T216" s="42" t="str">
        <f aca="false">IF(ISNUMBER($AF216),INDEX(IDX_SrcGrade,$AF216),"—")</f>
        <v>—</v>
      </c>
      <c r="U216" s="42" t="s">
        <v>3886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2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2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4452</v>
      </c>
      <c r="B217" s="224" t="s">
        <v>3880</v>
      </c>
      <c r="C217" s="28" t="s">
        <v>4367</v>
      </c>
      <c r="D217" s="28" t="s">
        <v>3927</v>
      </c>
      <c r="E217" s="19" t="s">
        <v>289</v>
      </c>
      <c r="F217" s="28" t="s">
        <v>100</v>
      </c>
      <c r="G217" s="224" t="s">
        <v>3882</v>
      </c>
      <c r="H217" s="28" t="s">
        <v>620</v>
      </c>
      <c r="I217" s="6" t="s">
        <v>620</v>
      </c>
      <c r="J217" s="28" t="s">
        <v>620</v>
      </c>
      <c r="K217" s="224"/>
      <c r="L217" s="224"/>
      <c r="M217" s="224" t="s">
        <v>3778</v>
      </c>
      <c r="N217" s="6" t="s">
        <v>4453</v>
      </c>
      <c r="O217" s="6" t="s">
        <v>620</v>
      </c>
      <c r="P217" s="224" t="s">
        <v>3941</v>
      </c>
      <c r="Q217" s="187" t="n">
        <f aca="false">Arch!E16</f>
        <v>1</v>
      </c>
      <c r="R217" s="28" t="s">
        <v>620</v>
      </c>
      <c r="S217" s="42" t="str">
        <f aca="false">IF(ISNUMBER($AF217),INDEX(IDX_SrcStat,$AF217),"—")</f>
        <v>—</v>
      </c>
      <c r="T217" s="42" t="str">
        <f aca="false">IF(ISNUMBER($AF217),INDEX(IDX_SrcGrade,$AF217),"—")</f>
        <v>—</v>
      </c>
      <c r="U217" s="42" t="s">
        <v>3886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2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2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4454</v>
      </c>
      <c r="B218" s="224" t="s">
        <v>3880</v>
      </c>
      <c r="C218" s="28" t="s">
        <v>4367</v>
      </c>
      <c r="D218" s="28" t="s">
        <v>3933</v>
      </c>
      <c r="E218" s="19" t="s">
        <v>4425</v>
      </c>
      <c r="F218" s="28" t="s">
        <v>100</v>
      </c>
      <c r="G218" s="224" t="s">
        <v>3882</v>
      </c>
      <c r="H218" s="28" t="s">
        <v>620</v>
      </c>
      <c r="I218" s="6" t="s">
        <v>620</v>
      </c>
      <c r="J218" s="28" t="s">
        <v>620</v>
      </c>
      <c r="K218" s="224"/>
      <c r="L218" s="224"/>
      <c r="M218" s="224" t="s">
        <v>3778</v>
      </c>
      <c r="N218" s="6" t="s">
        <v>4455</v>
      </c>
      <c r="O218" s="6" t="s">
        <v>620</v>
      </c>
      <c r="P218" s="224" t="s">
        <v>3885</v>
      </c>
      <c r="Q218" s="47" t="n">
        <f aca="false">Arch!E17</f>
        <v>0</v>
      </c>
      <c r="R218" s="28" t="s">
        <v>620</v>
      </c>
      <c r="S218" s="42" t="str">
        <f aca="false">IF(ISNUMBER($AF218),INDEX(IDX_SrcStat,$AF218),"—")</f>
        <v>—</v>
      </c>
      <c r="T218" s="42" t="str">
        <f aca="false">IF(ISNUMBER($AF218),INDEX(IDX_SrcGrade,$AF218),"—")</f>
        <v>—</v>
      </c>
      <c r="U218" s="42" t="s">
        <v>3886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2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2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4456</v>
      </c>
      <c r="B219" s="224" t="s">
        <v>3880</v>
      </c>
      <c r="C219" s="28" t="s">
        <v>4367</v>
      </c>
      <c r="D219" s="28" t="s">
        <v>3939</v>
      </c>
      <c r="E219" s="19" t="s">
        <v>294</v>
      </c>
      <c r="F219" s="28" t="s">
        <v>100</v>
      </c>
      <c r="G219" s="224" t="s">
        <v>3882</v>
      </c>
      <c r="H219" s="28" t="s">
        <v>620</v>
      </c>
      <c r="I219" s="6" t="s">
        <v>620</v>
      </c>
      <c r="J219" s="28" t="s">
        <v>620</v>
      </c>
      <c r="K219" s="224"/>
      <c r="L219" s="224"/>
      <c r="M219" s="224" t="s">
        <v>3778</v>
      </c>
      <c r="N219" s="6" t="s">
        <v>4457</v>
      </c>
      <c r="O219" s="6" t="s">
        <v>620</v>
      </c>
      <c r="P219" s="224" t="s">
        <v>1150</v>
      </c>
      <c r="Q219" s="47" t="n">
        <f aca="false">Arch!E18</f>
        <v>1</v>
      </c>
      <c r="R219" s="28" t="s">
        <v>620</v>
      </c>
      <c r="S219" s="42" t="str">
        <f aca="false">IF(ISNUMBER($AF219),INDEX(IDX_SrcStat,$AF219),"—")</f>
        <v>—</v>
      </c>
      <c r="T219" s="42" t="str">
        <f aca="false">IF(ISNUMBER($AF219),INDEX(IDX_SrcGrade,$AF219),"—")</f>
        <v>—</v>
      </c>
      <c r="U219" s="42" t="s">
        <v>3886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2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2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4458</v>
      </c>
      <c r="B220" s="224" t="s">
        <v>3880</v>
      </c>
      <c r="C220" s="28" t="s">
        <v>4367</v>
      </c>
      <c r="D220" s="28" t="s">
        <v>3947</v>
      </c>
      <c r="E220" s="19" t="s">
        <v>296</v>
      </c>
      <c r="F220" s="28" t="s">
        <v>100</v>
      </c>
      <c r="G220" s="224" t="s">
        <v>3882</v>
      </c>
      <c r="H220" s="28" t="s">
        <v>620</v>
      </c>
      <c r="I220" s="6" t="s">
        <v>620</v>
      </c>
      <c r="J220" s="28" t="s">
        <v>620</v>
      </c>
      <c r="K220" s="224"/>
      <c r="L220" s="224"/>
      <c r="M220" s="224" t="s">
        <v>3778</v>
      </c>
      <c r="N220" s="6" t="s">
        <v>4459</v>
      </c>
      <c r="O220" s="6" t="s">
        <v>620</v>
      </c>
      <c r="P220" s="224" t="s">
        <v>1150</v>
      </c>
      <c r="Q220" s="47" t="n">
        <f aca="false">Arch!E19</f>
        <v>0</v>
      </c>
      <c r="R220" s="28" t="s">
        <v>620</v>
      </c>
      <c r="S220" s="42" t="str">
        <f aca="false">IF(ISNUMBER($AF220),INDEX(IDX_SrcStat,$AF220),"—")</f>
        <v>—</v>
      </c>
      <c r="T220" s="42" t="str">
        <f aca="false">IF(ISNUMBER($AF220),INDEX(IDX_SrcGrade,$AF220),"—")</f>
        <v>—</v>
      </c>
      <c r="U220" s="42" t="s">
        <v>3886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2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2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4460</v>
      </c>
      <c r="B221" s="224" t="s">
        <v>3880</v>
      </c>
      <c r="C221" s="28" t="s">
        <v>4367</v>
      </c>
      <c r="D221" s="28" t="s">
        <v>3953</v>
      </c>
      <c r="E221" s="6" t="s">
        <v>297</v>
      </c>
      <c r="F221" s="28" t="s">
        <v>92</v>
      </c>
      <c r="G221" s="224" t="s">
        <v>3882</v>
      </c>
      <c r="H221" s="28" t="s">
        <v>620</v>
      </c>
      <c r="I221" s="6" t="s">
        <v>620</v>
      </c>
      <c r="J221" s="28" t="s">
        <v>4461</v>
      </c>
      <c r="K221" s="224"/>
      <c r="L221" s="224"/>
      <c r="M221" s="28" t="s">
        <v>620</v>
      </c>
      <c r="N221" s="6" t="s">
        <v>4462</v>
      </c>
      <c r="O221" s="6" t="s">
        <v>620</v>
      </c>
      <c r="P221" s="224" t="s">
        <v>3885</v>
      </c>
      <c r="Q221" s="31" t="n">
        <f aca="false">Arch!E20</f>
        <v>2</v>
      </c>
      <c r="R221" s="28" t="s">
        <v>620</v>
      </c>
      <c r="S221" s="42" t="str">
        <f aca="false">IF(ISNUMBER($AF221),INDEX(IDX_SrcStat,$AF221),"—")</f>
        <v>—</v>
      </c>
      <c r="T221" s="42" t="str">
        <f aca="false">IF(ISNUMBER($AF221),INDEX(IDX_SrcGrade,$AF221),"—")</f>
        <v>—</v>
      </c>
      <c r="U221" s="42" t="s">
        <v>3886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2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2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4463</v>
      </c>
      <c r="B222" s="224" t="s">
        <v>3880</v>
      </c>
      <c r="C222" s="28" t="s">
        <v>4367</v>
      </c>
      <c r="D222" s="28" t="s">
        <v>4464</v>
      </c>
      <c r="E222" s="6" t="s">
        <v>299</v>
      </c>
      <c r="F222" s="28" t="s">
        <v>3974</v>
      </c>
      <c r="G222" s="224" t="s">
        <v>3882</v>
      </c>
      <c r="H222" s="28" t="s">
        <v>620</v>
      </c>
      <c r="I222" s="6" t="s">
        <v>620</v>
      </c>
      <c r="J222" s="28" t="s">
        <v>620</v>
      </c>
      <c r="K222" s="224"/>
      <c r="L222" s="224"/>
      <c r="M222" s="28" t="s">
        <v>620</v>
      </c>
      <c r="N222" s="228" t="s">
        <v>4465</v>
      </c>
      <c r="O222" s="6" t="s">
        <v>620</v>
      </c>
      <c r="P222" s="224" t="s">
        <v>3885</v>
      </c>
      <c r="Q222" s="47" t="n">
        <f aca="false">Arch!C21</f>
        <v>2795</v>
      </c>
      <c r="R222" s="28" t="s">
        <v>620</v>
      </c>
      <c r="S222" s="42" t="str">
        <f aca="false">IF(ISNUMBER($AF222),INDEX(IDX_SrcStat,$AF222),"—")</f>
        <v>—</v>
      </c>
      <c r="T222" s="42" t="str">
        <f aca="false">IF(ISNUMBER($AF222),INDEX(IDX_SrcGrade,$AF222),"—")</f>
        <v>—</v>
      </c>
      <c r="U222" s="42" t="s">
        <v>3978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2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2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4466</v>
      </c>
      <c r="B223" s="224" t="s">
        <v>3880</v>
      </c>
      <c r="C223" s="28" t="s">
        <v>4367</v>
      </c>
      <c r="D223" s="28" t="s">
        <v>3963</v>
      </c>
      <c r="E223" s="6" t="s">
        <v>299</v>
      </c>
      <c r="F223" s="28" t="s">
        <v>3974</v>
      </c>
      <c r="G223" s="224" t="s">
        <v>3882</v>
      </c>
      <c r="H223" s="28" t="s">
        <v>620</v>
      </c>
      <c r="I223" s="6" t="s">
        <v>620</v>
      </c>
      <c r="J223" s="28" t="s">
        <v>620</v>
      </c>
      <c r="K223" s="224"/>
      <c r="L223" s="224"/>
      <c r="M223" s="28" t="s">
        <v>620</v>
      </c>
      <c r="N223" s="228" t="s">
        <v>4465</v>
      </c>
      <c r="O223" s="6" t="s">
        <v>620</v>
      </c>
      <c r="P223" s="224" t="s">
        <v>3885</v>
      </c>
      <c r="Q223" s="47" t="n">
        <f aca="false">Arch!D21</f>
        <v>3965</v>
      </c>
      <c r="R223" s="28" t="s">
        <v>620</v>
      </c>
      <c r="S223" s="42" t="str">
        <f aca="false">IF(ISNUMBER($AF223),INDEX(IDX_SrcStat,$AF223),"—")</f>
        <v>—</v>
      </c>
      <c r="T223" s="42" t="str">
        <f aca="false">IF(ISNUMBER($AF223),INDEX(IDX_SrcGrade,$AF223),"—")</f>
        <v>—</v>
      </c>
      <c r="U223" s="42" t="s">
        <v>3978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2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2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4467</v>
      </c>
      <c r="B224" s="224" t="s">
        <v>3880</v>
      </c>
      <c r="C224" s="28" t="s">
        <v>4367</v>
      </c>
      <c r="D224" s="28" t="s">
        <v>3960</v>
      </c>
      <c r="E224" s="6" t="s">
        <v>299</v>
      </c>
      <c r="F224" s="28" t="s">
        <v>3974</v>
      </c>
      <c r="G224" s="224" t="s">
        <v>3882</v>
      </c>
      <c r="H224" s="28" t="s">
        <v>620</v>
      </c>
      <c r="I224" s="6" t="s">
        <v>620</v>
      </c>
      <c r="J224" s="28" t="s">
        <v>620</v>
      </c>
      <c r="K224" s="224"/>
      <c r="L224" s="224"/>
      <c r="M224" s="28" t="s">
        <v>620</v>
      </c>
      <c r="N224" s="228" t="s">
        <v>4465</v>
      </c>
      <c r="O224" s="6" t="s">
        <v>620</v>
      </c>
      <c r="P224" s="224" t="s">
        <v>3885</v>
      </c>
      <c r="Q224" s="47" t="n">
        <f aca="false">Arch!E21</f>
        <v>14976</v>
      </c>
      <c r="R224" s="28" t="s">
        <v>620</v>
      </c>
      <c r="S224" s="42" t="str">
        <f aca="false">IF(ISNUMBER($AF224),INDEX(IDX_SrcStat,$AF224),"—")</f>
        <v>—</v>
      </c>
      <c r="T224" s="42" t="str">
        <f aca="false">IF(ISNUMBER($AF224),INDEX(IDX_SrcGrade,$AF224),"—")</f>
        <v>—</v>
      </c>
      <c r="U224" s="42" t="s">
        <v>3978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2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2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4468</v>
      </c>
      <c r="B225" s="224" t="s">
        <v>3880</v>
      </c>
      <c r="C225" s="28" t="s">
        <v>4367</v>
      </c>
      <c r="D225" s="28" t="s">
        <v>4469</v>
      </c>
      <c r="E225" s="6" t="s">
        <v>302</v>
      </c>
      <c r="F225" s="28" t="s">
        <v>3974</v>
      </c>
      <c r="G225" s="224" t="s">
        <v>3882</v>
      </c>
      <c r="H225" s="28" t="s">
        <v>620</v>
      </c>
      <c r="I225" s="6" t="s">
        <v>620</v>
      </c>
      <c r="J225" s="28" t="s">
        <v>620</v>
      </c>
      <c r="K225" s="224"/>
      <c r="L225" s="224"/>
      <c r="M225" s="28" t="s">
        <v>620</v>
      </c>
      <c r="N225" s="228" t="s">
        <v>4465</v>
      </c>
      <c r="O225" s="6" t="s">
        <v>620</v>
      </c>
      <c r="P225" s="224" t="s">
        <v>3885</v>
      </c>
      <c r="Q225" s="47" t="n">
        <f aca="false">Arch!C22</f>
        <v>2795</v>
      </c>
      <c r="R225" s="28" t="s">
        <v>620</v>
      </c>
      <c r="S225" s="42" t="str">
        <f aca="false">IF(ISNUMBER($AF225),INDEX(IDX_SrcStat,$AF225),"—")</f>
        <v>—</v>
      </c>
      <c r="T225" s="42" t="str">
        <f aca="false">IF(ISNUMBER($AF225),INDEX(IDX_SrcGrade,$AF225),"—")</f>
        <v>—</v>
      </c>
      <c r="U225" s="42" t="s">
        <v>3978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2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2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4470</v>
      </c>
      <c r="B226" s="224" t="s">
        <v>3880</v>
      </c>
      <c r="C226" s="28" t="s">
        <v>4367</v>
      </c>
      <c r="D226" s="28" t="s">
        <v>4471</v>
      </c>
      <c r="E226" s="6" t="s">
        <v>302</v>
      </c>
      <c r="F226" s="28" t="s">
        <v>3974</v>
      </c>
      <c r="G226" s="224" t="s">
        <v>3882</v>
      </c>
      <c r="H226" s="28" t="s">
        <v>620</v>
      </c>
      <c r="I226" s="6" t="s">
        <v>620</v>
      </c>
      <c r="J226" s="28" t="s">
        <v>620</v>
      </c>
      <c r="K226" s="224"/>
      <c r="L226" s="224"/>
      <c r="M226" s="28" t="s">
        <v>620</v>
      </c>
      <c r="N226" s="228" t="s">
        <v>4465</v>
      </c>
      <c r="O226" s="6" t="s">
        <v>620</v>
      </c>
      <c r="P226" s="224" t="s">
        <v>3885</v>
      </c>
      <c r="Q226" s="47" t="n">
        <f aca="false">Arch!D22</f>
        <v>3965</v>
      </c>
      <c r="R226" s="28" t="s">
        <v>620</v>
      </c>
      <c r="S226" s="42" t="str">
        <f aca="false">IF(ISNUMBER($AF226),INDEX(IDX_SrcStat,$AF226),"—")</f>
        <v>—</v>
      </c>
      <c r="T226" s="42" t="str">
        <f aca="false">IF(ISNUMBER($AF226),INDEX(IDX_SrcGrade,$AF226),"—")</f>
        <v>—</v>
      </c>
      <c r="U226" s="42" t="s">
        <v>3978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2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2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4472</v>
      </c>
      <c r="B227" s="224" t="s">
        <v>3880</v>
      </c>
      <c r="C227" s="28" t="s">
        <v>4367</v>
      </c>
      <c r="D227" s="28" t="s">
        <v>4473</v>
      </c>
      <c r="E227" s="6" t="s">
        <v>302</v>
      </c>
      <c r="F227" s="28" t="s">
        <v>3974</v>
      </c>
      <c r="G227" s="224" t="s">
        <v>3882</v>
      </c>
      <c r="H227" s="28" t="s">
        <v>620</v>
      </c>
      <c r="I227" s="6" t="s">
        <v>620</v>
      </c>
      <c r="J227" s="28" t="s">
        <v>620</v>
      </c>
      <c r="K227" s="224"/>
      <c r="L227" s="224"/>
      <c r="M227" s="28" t="s">
        <v>620</v>
      </c>
      <c r="N227" s="228" t="s">
        <v>4465</v>
      </c>
      <c r="O227" s="6" t="s">
        <v>620</v>
      </c>
      <c r="P227" s="224" t="s">
        <v>3885</v>
      </c>
      <c r="Q227" s="47" t="n">
        <f aca="false">Arch!E22</f>
        <v>57600</v>
      </c>
      <c r="R227" s="28" t="s">
        <v>620</v>
      </c>
      <c r="S227" s="42" t="str">
        <f aca="false">IF(ISNUMBER($AF227),INDEX(IDX_SrcStat,$AF227),"—")</f>
        <v>—</v>
      </c>
      <c r="T227" s="42" t="str">
        <f aca="false">IF(ISNUMBER($AF227),INDEX(IDX_SrcGrade,$AF227),"—")</f>
        <v>—</v>
      </c>
      <c r="U227" s="42" t="s">
        <v>3978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2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2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4474</v>
      </c>
      <c r="B228" s="224" t="s">
        <v>3880</v>
      </c>
      <c r="C228" s="28" t="s">
        <v>4367</v>
      </c>
      <c r="D228" s="28" t="s">
        <v>4159</v>
      </c>
      <c r="E228" s="6" t="s">
        <v>304</v>
      </c>
      <c r="F228" s="28" t="s">
        <v>3974</v>
      </c>
      <c r="G228" s="224" t="s">
        <v>3882</v>
      </c>
      <c r="H228" s="28" t="s">
        <v>620</v>
      </c>
      <c r="I228" s="6" t="s">
        <v>620</v>
      </c>
      <c r="J228" s="28" t="s">
        <v>620</v>
      </c>
      <c r="K228" s="224"/>
      <c r="L228" s="224"/>
      <c r="M228" s="28" t="s">
        <v>620</v>
      </c>
      <c r="N228" s="228" t="s">
        <v>4465</v>
      </c>
      <c r="O228" s="6" t="s">
        <v>620</v>
      </c>
      <c r="P228" s="224" t="s">
        <v>3885</v>
      </c>
      <c r="Q228" s="47" t="n">
        <f aca="false">Arch!C23</f>
        <v>2795</v>
      </c>
      <c r="R228" s="28" t="s">
        <v>620</v>
      </c>
      <c r="S228" s="42" t="str">
        <f aca="false">IF(ISNUMBER($AF228),INDEX(IDX_SrcStat,$AF228),"—")</f>
        <v>—</v>
      </c>
      <c r="T228" s="42" t="str">
        <f aca="false">IF(ISNUMBER($AF228),INDEX(IDX_SrcGrade,$AF228),"—")</f>
        <v>—</v>
      </c>
      <c r="U228" s="42" t="s">
        <v>3978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2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2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4475</v>
      </c>
      <c r="B229" s="224" t="s">
        <v>3880</v>
      </c>
      <c r="C229" s="28" t="s">
        <v>4367</v>
      </c>
      <c r="D229" s="28" t="s">
        <v>4017</v>
      </c>
      <c r="E229" s="6" t="s">
        <v>304</v>
      </c>
      <c r="F229" s="28" t="s">
        <v>3974</v>
      </c>
      <c r="G229" s="224" t="s">
        <v>3882</v>
      </c>
      <c r="H229" s="28" t="s">
        <v>620</v>
      </c>
      <c r="I229" s="6" t="s">
        <v>620</v>
      </c>
      <c r="J229" s="28" t="s">
        <v>620</v>
      </c>
      <c r="K229" s="224"/>
      <c r="L229" s="224"/>
      <c r="M229" s="28" t="s">
        <v>620</v>
      </c>
      <c r="N229" s="228" t="s">
        <v>4465</v>
      </c>
      <c r="O229" s="6" t="s">
        <v>620</v>
      </c>
      <c r="P229" s="224" t="s">
        <v>3885</v>
      </c>
      <c r="Q229" s="47" t="n">
        <f aca="false">Arch!D23</f>
        <v>3965</v>
      </c>
      <c r="R229" s="28" t="s">
        <v>620</v>
      </c>
      <c r="S229" s="42" t="str">
        <f aca="false">IF(ISNUMBER($AF229),INDEX(IDX_SrcStat,$AF229),"—")</f>
        <v>—</v>
      </c>
      <c r="T229" s="42" t="str">
        <f aca="false">IF(ISNUMBER($AF229),INDEX(IDX_SrcGrade,$AF229),"—")</f>
        <v>—</v>
      </c>
      <c r="U229" s="42" t="s">
        <v>3978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2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2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4476</v>
      </c>
      <c r="B230" s="224" t="s">
        <v>3880</v>
      </c>
      <c r="C230" s="28" t="s">
        <v>4367</v>
      </c>
      <c r="D230" s="28" t="s">
        <v>4022</v>
      </c>
      <c r="E230" s="6" t="s">
        <v>304</v>
      </c>
      <c r="F230" s="28" t="s">
        <v>3974</v>
      </c>
      <c r="G230" s="224" t="s">
        <v>3882</v>
      </c>
      <c r="H230" s="28" t="s">
        <v>620</v>
      </c>
      <c r="I230" s="6" t="s">
        <v>620</v>
      </c>
      <c r="J230" s="28" t="s">
        <v>620</v>
      </c>
      <c r="K230" s="224"/>
      <c r="L230" s="224"/>
      <c r="M230" s="28" t="s">
        <v>620</v>
      </c>
      <c r="N230" s="228" t="s">
        <v>4465</v>
      </c>
      <c r="O230" s="6" t="s">
        <v>620</v>
      </c>
      <c r="P230" s="224" t="s">
        <v>3885</v>
      </c>
      <c r="Q230" s="47" t="n">
        <f aca="false">Arch!E23</f>
        <v>204800</v>
      </c>
      <c r="R230" s="28" t="s">
        <v>620</v>
      </c>
      <c r="S230" s="42" t="str">
        <f aca="false">IF(ISNUMBER($AF230),INDEX(IDX_SrcStat,$AF230),"—")</f>
        <v>—</v>
      </c>
      <c r="T230" s="42" t="str">
        <f aca="false">IF(ISNUMBER($AF230),INDEX(IDX_SrcGrade,$AF230),"—")</f>
        <v>—</v>
      </c>
      <c r="U230" s="42" t="s">
        <v>3978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2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2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4477</v>
      </c>
      <c r="B231" s="224" t="s">
        <v>3880</v>
      </c>
      <c r="C231" s="28" t="s">
        <v>4478</v>
      </c>
      <c r="D231" s="28" t="s">
        <v>4045</v>
      </c>
      <c r="E231" s="6" t="s">
        <v>342</v>
      </c>
      <c r="F231" s="28" t="s">
        <v>104</v>
      </c>
      <c r="G231" s="224" t="s">
        <v>3882</v>
      </c>
      <c r="H231" s="28" t="s">
        <v>4479</v>
      </c>
      <c r="I231" s="19" t="s">
        <v>4480</v>
      </c>
      <c r="J231" s="28" t="s">
        <v>620</v>
      </c>
      <c r="K231" s="226" t="n">
        <v>1</v>
      </c>
      <c r="L231" s="226" t="n">
        <v>5</v>
      </c>
      <c r="M231" s="28" t="s">
        <v>4481</v>
      </c>
      <c r="N231" s="225" t="str">
        <f aca="false">Serving!$F$6&amp;" ｜補充旗標（IF 全欄分段，非分段依據）：中"</f>
        <v>DeepSeek MTP；區間 1–5 ｜補充旗標（IF 全欄分段，非分段依據）：中</v>
      </c>
      <c r="O231" s="6" t="s">
        <v>620</v>
      </c>
      <c r="P231" s="224" t="s">
        <v>1150</v>
      </c>
      <c r="Q231" s="31" t="n">
        <f aca="false">Serving!C6</f>
        <v>3</v>
      </c>
      <c r="R231" s="177" t="n">
        <f aca="false">SRC_PERF_035</f>
        <v>3</v>
      </c>
      <c r="S231" s="42" t="str">
        <f aca="false">IF(ISNUMBER($AF231),INDEX(IDX_SrcStat,$AF231),"—")</f>
        <v>Active</v>
      </c>
      <c r="T231" s="42" t="n">
        <f aca="false">IF(ISNUMBER($AF231),INDEX(IDX_SrcGrade,$AF231),"—")</f>
        <v>1</v>
      </c>
      <c r="U231" s="42" t="s">
        <v>3886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2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2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4482</v>
      </c>
      <c r="B232" s="224" t="s">
        <v>3880</v>
      </c>
      <c r="C232" s="28" t="s">
        <v>4478</v>
      </c>
      <c r="D232" s="28" t="s">
        <v>4372</v>
      </c>
      <c r="E232" s="19" t="s">
        <v>4483</v>
      </c>
      <c r="F232" s="224" t="s">
        <v>332</v>
      </c>
      <c r="G232" s="224" t="s">
        <v>3882</v>
      </c>
      <c r="H232" s="28" t="s">
        <v>4484</v>
      </c>
      <c r="I232" s="19" t="s">
        <v>3917</v>
      </c>
      <c r="J232" s="28" t="s">
        <v>620</v>
      </c>
      <c r="K232" s="224"/>
      <c r="L232" s="224"/>
      <c r="M232" s="28" t="s">
        <v>620</v>
      </c>
      <c r="N232" s="19" t="s">
        <v>4109</v>
      </c>
      <c r="O232" s="6" t="s">
        <v>620</v>
      </c>
      <c r="P232" s="224" t="s">
        <v>3941</v>
      </c>
      <c r="Q232" s="187" t="n">
        <f aca="false">Serving!C7</f>
        <v>0.7</v>
      </c>
      <c r="R232" s="177" t="n">
        <f aca="false">SRC_PERF_005</f>
        <v>0.7</v>
      </c>
      <c r="S232" s="42" t="str">
        <f aca="false">IF(ISNUMBER($AF232),INDEX(IDX_SrcStat,$AF232),"—")</f>
        <v>Active</v>
      </c>
      <c r="T232" s="42" t="n">
        <f aca="false">IF(ISNUMBER($AF232),INDEX(IDX_SrcGrade,$AF232),"—")</f>
        <v>1</v>
      </c>
      <c r="U232" s="42" t="s">
        <v>3919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2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2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4485</v>
      </c>
      <c r="B233" s="224" t="s">
        <v>3880</v>
      </c>
      <c r="C233" s="28" t="s">
        <v>4478</v>
      </c>
      <c r="D233" s="28" t="s">
        <v>4072</v>
      </c>
      <c r="E233" s="6" t="s">
        <v>349</v>
      </c>
      <c r="F233" s="28" t="s">
        <v>100</v>
      </c>
      <c r="G233" s="224" t="s">
        <v>3882</v>
      </c>
      <c r="H233" s="28" t="s">
        <v>620</v>
      </c>
      <c r="I233" s="6" t="s">
        <v>620</v>
      </c>
      <c r="J233" s="28" t="s">
        <v>620</v>
      </c>
      <c r="K233" s="226" t="n">
        <v>0.05</v>
      </c>
      <c r="L233" s="226" t="n">
        <v>0.2</v>
      </c>
      <c r="M233" s="28" t="s">
        <v>4486</v>
      </c>
      <c r="N233" s="225" t="str">
        <f aca="false">Serving!$F$9&amp;" ｜補充旗標（IF 全欄分段，非分段依據）：中"</f>
        <v>區間 5–20% ｜補充旗標（IF 全欄分段，非分段依據）：中</v>
      </c>
      <c r="O233" s="6" t="s">
        <v>620</v>
      </c>
      <c r="P233" s="224" t="s">
        <v>1150</v>
      </c>
      <c r="Q233" s="187" t="n">
        <f aca="false">Serving!C9</f>
        <v>0.1</v>
      </c>
      <c r="R233" s="28" t="s">
        <v>620</v>
      </c>
      <c r="S233" s="42" t="str">
        <f aca="false">IF(ISNUMBER($AF233),INDEX(IDX_SrcStat,$AF233),"—")</f>
        <v>—</v>
      </c>
      <c r="T233" s="42" t="str">
        <f aca="false">IF(ISNUMBER($AF233),INDEX(IDX_SrcGrade,$AF233),"—")</f>
        <v>—</v>
      </c>
      <c r="U233" s="42" t="s">
        <v>3886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2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2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4487</v>
      </c>
      <c r="B234" s="224" t="s">
        <v>3880</v>
      </c>
      <c r="C234" s="28" t="s">
        <v>4478</v>
      </c>
      <c r="D234" s="28" t="s">
        <v>4092</v>
      </c>
      <c r="E234" s="19" t="s">
        <v>4488</v>
      </c>
      <c r="F234" s="28" t="s">
        <v>100</v>
      </c>
      <c r="G234" s="224" t="s">
        <v>3882</v>
      </c>
      <c r="H234" s="28" t="s">
        <v>620</v>
      </c>
      <c r="I234" s="6" t="s">
        <v>620</v>
      </c>
      <c r="J234" s="28" t="s">
        <v>620</v>
      </c>
      <c r="K234" s="226" t="n">
        <v>0.1</v>
      </c>
      <c r="L234" s="226" t="n">
        <v>0.3</v>
      </c>
      <c r="M234" s="28" t="s">
        <v>4489</v>
      </c>
      <c r="N234" s="225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620</v>
      </c>
      <c r="P234" s="224" t="s">
        <v>3941</v>
      </c>
      <c r="Q234" s="187" t="n">
        <f aca="false">Serving!C10</f>
        <v>0.2</v>
      </c>
      <c r="R234" s="28" t="s">
        <v>620</v>
      </c>
      <c r="S234" s="42" t="str">
        <f aca="false">IF(ISNUMBER($AF234),INDEX(IDX_SrcStat,$AF234),"—")</f>
        <v>—</v>
      </c>
      <c r="T234" s="42" t="str">
        <f aca="false">IF(ISNUMBER($AF234),INDEX(IDX_SrcGrade,$AF234),"—")</f>
        <v>—</v>
      </c>
      <c r="U234" s="42" t="s">
        <v>3886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2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2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4490</v>
      </c>
      <c r="B235" s="224" t="s">
        <v>3880</v>
      </c>
      <c r="C235" s="28" t="s">
        <v>4478</v>
      </c>
      <c r="D235" s="28" t="s">
        <v>4103</v>
      </c>
      <c r="E235" s="19" t="s">
        <v>4491</v>
      </c>
      <c r="F235" s="28" t="s">
        <v>100</v>
      </c>
      <c r="G235" s="224" t="s">
        <v>3882</v>
      </c>
      <c r="H235" s="28" t="s">
        <v>620</v>
      </c>
      <c r="I235" s="6" t="s">
        <v>620</v>
      </c>
      <c r="J235" s="28" t="s">
        <v>620</v>
      </c>
      <c r="K235" s="226" t="n">
        <v>0.3</v>
      </c>
      <c r="L235" s="226" t="n">
        <v>0.5</v>
      </c>
      <c r="M235" s="28" t="s">
        <v>4492</v>
      </c>
      <c r="N235" s="225" t="str">
        <f aca="false">Serving!$F$11&amp;" ｜補充旗標（IF 全欄分段，非分段依據）：高"</f>
        <v>超過時自動加寬 EP ｜補充旗標（IF 全欄分段，非分段依據）：高</v>
      </c>
      <c r="O235" s="6" t="s">
        <v>620</v>
      </c>
      <c r="P235" s="224" t="s">
        <v>1150</v>
      </c>
      <c r="Q235" s="187" t="n">
        <f aca="false">Serving!C11</f>
        <v>0.4</v>
      </c>
      <c r="R235" s="28" t="s">
        <v>620</v>
      </c>
      <c r="S235" s="42" t="str">
        <f aca="false">IF(ISNUMBER($AF235),INDEX(IDX_SrcStat,$AF235),"—")</f>
        <v>—</v>
      </c>
      <c r="T235" s="42" t="str">
        <f aca="false">IF(ISNUMBER($AF235),INDEX(IDX_SrcGrade,$AF235),"—")</f>
        <v>—</v>
      </c>
      <c r="U235" s="42" t="s">
        <v>3886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2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2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4493</v>
      </c>
      <c r="B236" s="224" t="s">
        <v>3880</v>
      </c>
      <c r="C236" s="28" t="s">
        <v>4478</v>
      </c>
      <c r="D236" s="28" t="s">
        <v>4124</v>
      </c>
      <c r="E236" s="6" t="s">
        <v>355</v>
      </c>
      <c r="F236" s="28" t="s">
        <v>100</v>
      </c>
      <c r="G236" s="224" t="s">
        <v>3882</v>
      </c>
      <c r="H236" s="28" t="s">
        <v>620</v>
      </c>
      <c r="I236" s="6" t="s">
        <v>620</v>
      </c>
      <c r="J236" s="28" t="s">
        <v>620</v>
      </c>
      <c r="K236" s="226" t="n">
        <v>2</v>
      </c>
      <c r="L236" s="226" t="n">
        <v>4</v>
      </c>
      <c r="M236" s="28" t="s">
        <v>4494</v>
      </c>
      <c r="N236" s="225" t="str">
        <f aca="false">Serving!$F$12</f>
        <v>FP8 dispatch 1 B＋BF16 combine 2 B</v>
      </c>
      <c r="O236" s="6" t="s">
        <v>4280</v>
      </c>
      <c r="P236" s="224" t="s">
        <v>3885</v>
      </c>
      <c r="Q236" s="192" t="n">
        <f aca="false">Serving!C12</f>
        <v>3</v>
      </c>
      <c r="R236" s="28" t="s">
        <v>620</v>
      </c>
      <c r="S236" s="42" t="str">
        <f aca="false">IF(ISNUMBER($AF236),INDEX(IDX_SrcStat,$AF236),"—")</f>
        <v>—</v>
      </c>
      <c r="T236" s="42" t="str">
        <f aca="false">IF(ISNUMBER($AF236),INDEX(IDX_SrcGrade,$AF236),"—")</f>
        <v>—</v>
      </c>
      <c r="U236" s="42" t="s">
        <v>3886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2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2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4495</v>
      </c>
      <c r="B237" s="224" t="s">
        <v>3880</v>
      </c>
      <c r="C237" s="28" t="s">
        <v>4478</v>
      </c>
      <c r="D237" s="28" t="s">
        <v>4144</v>
      </c>
      <c r="E237" s="6" t="s">
        <v>357</v>
      </c>
      <c r="F237" s="28" t="s">
        <v>100</v>
      </c>
      <c r="G237" s="224" t="s">
        <v>3882</v>
      </c>
      <c r="H237" s="28" t="s">
        <v>620</v>
      </c>
      <c r="I237" s="6" t="s">
        <v>620</v>
      </c>
      <c r="J237" s="28" t="s">
        <v>620</v>
      </c>
      <c r="K237" s="226" t="n">
        <v>0.5</v>
      </c>
      <c r="L237" s="226" t="n">
        <v>0.85</v>
      </c>
      <c r="M237" s="28" t="s">
        <v>4496</v>
      </c>
      <c r="N237" s="225" t="str">
        <f aca="false">Serving!$F$13</f>
        <v>區間 0.5–0.85</v>
      </c>
      <c r="O237" s="6" t="s">
        <v>4280</v>
      </c>
      <c r="P237" s="224" t="s">
        <v>3885</v>
      </c>
      <c r="Q237" s="187" t="n">
        <f aca="false">Serving!C13</f>
        <v>0.7</v>
      </c>
      <c r="R237" s="28" t="s">
        <v>620</v>
      </c>
      <c r="S237" s="42" t="str">
        <f aca="false">IF(ISNUMBER($AF237),INDEX(IDX_SrcStat,$AF237),"—")</f>
        <v>—</v>
      </c>
      <c r="T237" s="42" t="str">
        <f aca="false">IF(ISNUMBER($AF237),INDEX(IDX_SrcGrade,$AF237),"—")</f>
        <v>—</v>
      </c>
      <c r="U237" s="42" t="s">
        <v>3886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2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2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4497</v>
      </c>
      <c r="B238" s="224" t="s">
        <v>3880</v>
      </c>
      <c r="C238" s="28" t="s">
        <v>4478</v>
      </c>
      <c r="D238" s="28" t="s">
        <v>4393</v>
      </c>
      <c r="E238" s="6" t="s">
        <v>359</v>
      </c>
      <c r="F238" s="28" t="s">
        <v>100</v>
      </c>
      <c r="G238" s="224" t="s">
        <v>3882</v>
      </c>
      <c r="H238" s="28" t="s">
        <v>620</v>
      </c>
      <c r="I238" s="6" t="s">
        <v>620</v>
      </c>
      <c r="J238" s="28" t="s">
        <v>620</v>
      </c>
      <c r="K238" s="226" t="n">
        <v>0.5</v>
      </c>
      <c r="L238" s="226" t="n">
        <v>0.85</v>
      </c>
      <c r="M238" s="28" t="s">
        <v>4496</v>
      </c>
      <c r="N238" s="225" t="str">
        <f aca="false">Serving!$F$14</f>
        <v>區間 0.5–0.85</v>
      </c>
      <c r="O238" s="6" t="s">
        <v>4280</v>
      </c>
      <c r="P238" s="224" t="s">
        <v>3885</v>
      </c>
      <c r="Q238" s="187" t="n">
        <f aca="false">Serving!C14</f>
        <v>0.7</v>
      </c>
      <c r="R238" s="28" t="s">
        <v>620</v>
      </c>
      <c r="S238" s="42" t="str">
        <f aca="false">IF(ISNUMBER($AF238),INDEX(IDX_SrcStat,$AF238),"—")</f>
        <v>—</v>
      </c>
      <c r="T238" s="42" t="str">
        <f aca="false">IF(ISNUMBER($AF238),INDEX(IDX_SrcGrade,$AF238),"—")</f>
        <v>—</v>
      </c>
      <c r="U238" s="42" t="s">
        <v>3886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2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2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4498</v>
      </c>
      <c r="B239" s="224" t="s">
        <v>3880</v>
      </c>
      <c r="C239" s="28" t="s">
        <v>4478</v>
      </c>
      <c r="D239" s="28" t="s">
        <v>4397</v>
      </c>
      <c r="E239" s="19" t="s">
        <v>4499</v>
      </c>
      <c r="F239" s="28" t="s">
        <v>100</v>
      </c>
      <c r="G239" s="224" t="s">
        <v>3882</v>
      </c>
      <c r="H239" s="28" t="s">
        <v>620</v>
      </c>
      <c r="I239" s="6" t="s">
        <v>620</v>
      </c>
      <c r="J239" s="28" t="s">
        <v>620</v>
      </c>
      <c r="K239" s="226" t="n">
        <v>0.05</v>
      </c>
      <c r="L239" s="226" t="n">
        <v>0.4</v>
      </c>
      <c r="M239" s="28" t="s">
        <v>4500</v>
      </c>
      <c r="N239" s="225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620</v>
      </c>
      <c r="P239" s="224" t="s">
        <v>1150</v>
      </c>
      <c r="Q239" s="185" t="n">
        <f aca="false">Serving!C15</f>
        <v>0.1</v>
      </c>
      <c r="R239" s="28" t="s">
        <v>620</v>
      </c>
      <c r="S239" s="42" t="str">
        <f aca="false">IF(ISNUMBER($AF239),INDEX(IDX_SrcStat,$AF239),"—")</f>
        <v>—</v>
      </c>
      <c r="T239" s="42" t="str">
        <f aca="false">IF(ISNUMBER($AF239),INDEX(IDX_SrcGrade,$AF239),"—")</f>
        <v>—</v>
      </c>
      <c r="U239" s="42" t="s">
        <v>3886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2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2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4501</v>
      </c>
      <c r="B240" s="224" t="s">
        <v>3880</v>
      </c>
      <c r="C240" s="28" t="s">
        <v>4478</v>
      </c>
      <c r="D240" s="28" t="s">
        <v>4424</v>
      </c>
      <c r="E240" s="19" t="s">
        <v>4502</v>
      </c>
      <c r="F240" s="28" t="s">
        <v>100</v>
      </c>
      <c r="G240" s="224" t="s">
        <v>3882</v>
      </c>
      <c r="H240" s="28" t="s">
        <v>620</v>
      </c>
      <c r="I240" s="6" t="s">
        <v>620</v>
      </c>
      <c r="J240" s="28" t="s">
        <v>4503</v>
      </c>
      <c r="K240" s="226" t="n">
        <v>0.4</v>
      </c>
      <c r="L240" s="226" t="n">
        <v>0.8</v>
      </c>
      <c r="M240" s="28" t="s">
        <v>4504</v>
      </c>
      <c r="N240" s="225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620</v>
      </c>
      <c r="P240" s="224" t="s">
        <v>1151</v>
      </c>
      <c r="Q240" s="187" t="n">
        <f aca="false">Serving!C17</f>
        <v>0.6</v>
      </c>
      <c r="R240" s="28" t="s">
        <v>620</v>
      </c>
      <c r="S240" s="42" t="str">
        <f aca="false">IF(ISNUMBER($AF240),INDEX(IDX_SrcStat,$AF240),"—")</f>
        <v>—</v>
      </c>
      <c r="T240" s="42" t="str">
        <f aca="false">IF(ISNUMBER($AF240),INDEX(IDX_SrcGrade,$AF240),"—")</f>
        <v>—</v>
      </c>
      <c r="U240" s="42" t="s">
        <v>3886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2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2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4505</v>
      </c>
      <c r="B241" s="224" t="s">
        <v>3880</v>
      </c>
      <c r="C241" s="28" t="s">
        <v>4478</v>
      </c>
      <c r="D241" s="28" t="s">
        <v>4406</v>
      </c>
      <c r="E241" s="19" t="s">
        <v>367</v>
      </c>
      <c r="F241" s="28" t="s">
        <v>100</v>
      </c>
      <c r="G241" s="224" t="s">
        <v>3882</v>
      </c>
      <c r="H241" s="28" t="s">
        <v>620</v>
      </c>
      <c r="I241" s="6" t="s">
        <v>620</v>
      </c>
      <c r="J241" s="28" t="s">
        <v>4503</v>
      </c>
      <c r="K241" s="226" t="n">
        <v>0.7</v>
      </c>
      <c r="L241" s="226" t="n">
        <v>1</v>
      </c>
      <c r="M241" s="28" t="s">
        <v>4506</v>
      </c>
      <c r="N241" s="225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表達；C18 與 C28 是否合併留第 2 批） ｜v5.29：進 L1_FleetBreakeven／L1_FleetMargin，X14 (c)</v>
      </c>
      <c r="O241" s="6" t="s">
        <v>620</v>
      </c>
      <c r="P241" s="224" t="s">
        <v>1151</v>
      </c>
      <c r="Q241" s="185" t="n">
        <f aca="false">Serving!C18</f>
        <v>1</v>
      </c>
      <c r="R241" s="28" t="s">
        <v>620</v>
      </c>
      <c r="S241" s="42" t="str">
        <f aca="false">IF(ISNUMBER($AF241),INDEX(IDX_SrcStat,$AF241),"—")</f>
        <v>—</v>
      </c>
      <c r="T241" s="42" t="str">
        <f aca="false">IF(ISNUMBER($AF241),INDEX(IDX_SrcGrade,$AF241),"—")</f>
        <v>—</v>
      </c>
      <c r="U241" s="42" t="s">
        <v>3886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2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2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4507</v>
      </c>
      <c r="B242" s="224" t="s">
        <v>3880</v>
      </c>
      <c r="C242" s="28" t="s">
        <v>4478</v>
      </c>
      <c r="D242" s="28" t="s">
        <v>4402</v>
      </c>
      <c r="E242" s="19" t="s">
        <v>4508</v>
      </c>
      <c r="F242" s="28" t="s">
        <v>92</v>
      </c>
      <c r="G242" s="224" t="s">
        <v>3882</v>
      </c>
      <c r="H242" s="28" t="s">
        <v>620</v>
      </c>
      <c r="I242" s="6" t="s">
        <v>620</v>
      </c>
      <c r="J242" s="28" t="s">
        <v>4509</v>
      </c>
      <c r="K242" s="224"/>
      <c r="L242" s="224"/>
      <c r="M242" s="28" t="s">
        <v>620</v>
      </c>
      <c r="N242" s="6" t="s">
        <v>4510</v>
      </c>
      <c r="O242" s="6" t="s">
        <v>620</v>
      </c>
      <c r="P242" s="224" t="s">
        <v>3885</v>
      </c>
      <c r="Q242" s="31" t="n">
        <f aca="false">Serving!C16</f>
        <v>1</v>
      </c>
      <c r="R242" s="28" t="s">
        <v>620</v>
      </c>
      <c r="S242" s="42" t="str">
        <f aca="false">IF(ISNUMBER($AF242),INDEX(IDX_SrcStat,$AF242),"—")</f>
        <v>—</v>
      </c>
      <c r="T242" s="42" t="str">
        <f aca="false">IF(ISNUMBER($AF242),INDEX(IDX_SrcGrade,$AF242),"—")</f>
        <v>—</v>
      </c>
      <c r="U242" s="42" t="s">
        <v>3886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2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2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4511</v>
      </c>
      <c r="B243" s="224" t="s">
        <v>3880</v>
      </c>
      <c r="C243" s="28" t="s">
        <v>4478</v>
      </c>
      <c r="D243" s="28" t="s">
        <v>4464</v>
      </c>
      <c r="E243" s="6" t="s">
        <v>371</v>
      </c>
      <c r="F243" s="224" t="s">
        <v>332</v>
      </c>
      <c r="G243" s="224" t="s">
        <v>3882</v>
      </c>
      <c r="H243" s="28" t="s">
        <v>4512</v>
      </c>
      <c r="I243" s="19" t="s">
        <v>3917</v>
      </c>
      <c r="J243" s="28" t="s">
        <v>4513</v>
      </c>
      <c r="K243" s="224"/>
      <c r="L243" s="224"/>
      <c r="M243" s="28" t="s">
        <v>620</v>
      </c>
      <c r="N243" s="19" t="s">
        <v>4020</v>
      </c>
      <c r="O243" s="6" t="s">
        <v>620</v>
      </c>
      <c r="P243" s="224" t="s">
        <v>1151</v>
      </c>
      <c r="Q243" s="47" t="n">
        <f aca="false">Serving!C21</f>
        <v>120</v>
      </c>
      <c r="R243" s="177" t="n">
        <f aca="false">SRC_PERF_018</f>
        <v>120</v>
      </c>
      <c r="S243" s="42" t="str">
        <f aca="false">IF(ISNUMBER($AF243),INDEX(IDX_SrcStat,$AF243),"—")</f>
        <v>Active</v>
      </c>
      <c r="T243" s="42" t="n">
        <f aca="false">IF(ISNUMBER($AF243),INDEX(IDX_SrcGrade,$AF243),"—")</f>
        <v>1</v>
      </c>
      <c r="U243" s="42" t="s">
        <v>3919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2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2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4514</v>
      </c>
      <c r="B244" s="224" t="s">
        <v>3880</v>
      </c>
      <c r="C244" s="28" t="s">
        <v>4478</v>
      </c>
      <c r="D244" s="28" t="s">
        <v>3963</v>
      </c>
      <c r="E244" s="6" t="s">
        <v>371</v>
      </c>
      <c r="F244" s="28" t="s">
        <v>92</v>
      </c>
      <c r="G244" s="224" t="s">
        <v>3882</v>
      </c>
      <c r="H244" s="28" t="s">
        <v>4515</v>
      </c>
      <c r="I244" s="19" t="s">
        <v>4516</v>
      </c>
      <c r="J244" s="28" t="s">
        <v>4513</v>
      </c>
      <c r="K244" s="224"/>
      <c r="L244" s="224"/>
      <c r="M244" s="28" t="s">
        <v>620</v>
      </c>
      <c r="N244" s="6" t="s">
        <v>4517</v>
      </c>
      <c r="O244" s="6" t="s">
        <v>620</v>
      </c>
      <c r="P244" s="224" t="s">
        <v>1151</v>
      </c>
      <c r="Q244" s="47" t="n">
        <f aca="false">Serving!D21</f>
        <v>65</v>
      </c>
      <c r="R244" s="177" t="n">
        <f aca="false">SRC_PERF_019</f>
        <v>68</v>
      </c>
      <c r="S244" s="42" t="str">
        <f aca="false">IF(ISNUMBER($AF244),INDEX(IDX_SrcStat,$AF244),"—")</f>
        <v>Active</v>
      </c>
      <c r="T244" s="42" t="n">
        <f aca="false">IF(ISNUMBER($AF244),INDEX(IDX_SrcGrade,$AF244),"—")</f>
        <v>1</v>
      </c>
      <c r="U244" s="42" t="s">
        <v>3886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2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2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4518</v>
      </c>
      <c r="B245" s="224" t="s">
        <v>3880</v>
      </c>
      <c r="C245" s="28" t="s">
        <v>4478</v>
      </c>
      <c r="D245" s="28" t="s">
        <v>3960</v>
      </c>
      <c r="E245" s="6" t="s">
        <v>371</v>
      </c>
      <c r="F245" s="28" t="s">
        <v>92</v>
      </c>
      <c r="G245" s="224" t="s">
        <v>3882</v>
      </c>
      <c r="H245" s="28" t="s">
        <v>4519</v>
      </c>
      <c r="I245" s="19" t="s">
        <v>4520</v>
      </c>
      <c r="J245" s="28" t="s">
        <v>4513</v>
      </c>
      <c r="K245" s="224"/>
      <c r="L245" s="224"/>
      <c r="M245" s="28" t="s">
        <v>620</v>
      </c>
      <c r="N245" s="6" t="s">
        <v>4521</v>
      </c>
      <c r="O245" s="6" t="s">
        <v>620</v>
      </c>
      <c r="P245" s="224" t="s">
        <v>1151</v>
      </c>
      <c r="Q245" s="47" t="n">
        <f aca="false">Serving!E21</f>
        <v>55</v>
      </c>
      <c r="R245" s="177" t="n">
        <f aca="false">SRC_PERF_020_Lo</f>
        <v>52</v>
      </c>
      <c r="S245" s="42" t="str">
        <f aca="false">IF(ISNUMBER($AF245),INDEX(IDX_SrcStat,$AF245),"—")</f>
        <v>Active</v>
      </c>
      <c r="T245" s="42" t="n">
        <f aca="false">IF(ISNUMBER($AF245),INDEX(IDX_SrcGrade,$AF245),"—")</f>
        <v>1</v>
      </c>
      <c r="U245" s="42" t="s">
        <v>3886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2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2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4522</v>
      </c>
      <c r="B246" s="224" t="s">
        <v>3880</v>
      </c>
      <c r="C246" s="28" t="s">
        <v>4478</v>
      </c>
      <c r="D246" s="28" t="s">
        <v>4469</v>
      </c>
      <c r="E246" s="6" t="s">
        <v>374</v>
      </c>
      <c r="F246" s="28" t="s">
        <v>100</v>
      </c>
      <c r="G246" s="224" t="s">
        <v>3882</v>
      </c>
      <c r="H246" s="28" t="s">
        <v>620</v>
      </c>
      <c r="I246" s="6" t="s">
        <v>620</v>
      </c>
      <c r="J246" s="28" t="s">
        <v>620</v>
      </c>
      <c r="K246" s="177" t="n">
        <f aca="false">Serving!C22*0.5</f>
        <v>1</v>
      </c>
      <c r="L246" s="177" t="n">
        <f aca="false">Serving!C22*2</f>
        <v>4</v>
      </c>
      <c r="M246" s="28" t="s">
        <v>4523</v>
      </c>
      <c r="N246" s="6" t="s">
        <v>4524</v>
      </c>
      <c r="O246" s="6" t="s">
        <v>620</v>
      </c>
      <c r="P246" s="224" t="s">
        <v>3885</v>
      </c>
      <c r="Q246" s="192" t="n">
        <f aca="false">Serving!C22</f>
        <v>2</v>
      </c>
      <c r="R246" s="28" t="s">
        <v>620</v>
      </c>
      <c r="S246" s="42" t="str">
        <f aca="false">IF(ISNUMBER($AF246),INDEX(IDX_SrcStat,$AF246),"—")</f>
        <v>—</v>
      </c>
      <c r="T246" s="42" t="str">
        <f aca="false">IF(ISNUMBER($AF246),INDEX(IDX_SrcGrade,$AF246),"—")</f>
        <v>—</v>
      </c>
      <c r="U246" s="42" t="s">
        <v>3886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2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2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4525</v>
      </c>
      <c r="B247" s="224" t="s">
        <v>3880</v>
      </c>
      <c r="C247" s="28" t="s">
        <v>4478</v>
      </c>
      <c r="D247" s="28" t="s">
        <v>4471</v>
      </c>
      <c r="E247" s="6" t="s">
        <v>374</v>
      </c>
      <c r="F247" s="28" t="s">
        <v>100</v>
      </c>
      <c r="G247" s="224" t="s">
        <v>3882</v>
      </c>
      <c r="H247" s="28" t="s">
        <v>620</v>
      </c>
      <c r="I247" s="6" t="s">
        <v>620</v>
      </c>
      <c r="J247" s="28" t="s">
        <v>620</v>
      </c>
      <c r="K247" s="177" t="n">
        <f aca="false">Serving!D22*0.5</f>
        <v>1.5</v>
      </c>
      <c r="L247" s="177" t="n">
        <f aca="false">Serving!D22*2</f>
        <v>6</v>
      </c>
      <c r="M247" s="28" t="s">
        <v>4523</v>
      </c>
      <c r="N247" s="6" t="s">
        <v>4524</v>
      </c>
      <c r="O247" s="6" t="s">
        <v>620</v>
      </c>
      <c r="P247" s="224" t="s">
        <v>3885</v>
      </c>
      <c r="Q247" s="192" t="n">
        <f aca="false">Serving!D22</f>
        <v>3</v>
      </c>
      <c r="R247" s="28" t="s">
        <v>620</v>
      </c>
      <c r="S247" s="42" t="str">
        <f aca="false">IF(ISNUMBER($AF247),INDEX(IDX_SrcStat,$AF247),"—")</f>
        <v>—</v>
      </c>
      <c r="T247" s="42" t="str">
        <f aca="false">IF(ISNUMBER($AF247),INDEX(IDX_SrcGrade,$AF247),"—")</f>
        <v>—</v>
      </c>
      <c r="U247" s="42" t="s">
        <v>3886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2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2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4526</v>
      </c>
      <c r="B248" s="224" t="s">
        <v>3880</v>
      </c>
      <c r="C248" s="28" t="s">
        <v>4478</v>
      </c>
      <c r="D248" s="28" t="s">
        <v>4473</v>
      </c>
      <c r="E248" s="6" t="s">
        <v>374</v>
      </c>
      <c r="F248" s="28" t="s">
        <v>100</v>
      </c>
      <c r="G248" s="224" t="s">
        <v>3882</v>
      </c>
      <c r="H248" s="28" t="s">
        <v>620</v>
      </c>
      <c r="I248" s="6" t="s">
        <v>620</v>
      </c>
      <c r="J248" s="28" t="s">
        <v>620</v>
      </c>
      <c r="K248" s="177" t="n">
        <f aca="false">Serving!E22*0.5</f>
        <v>2.5</v>
      </c>
      <c r="L248" s="177" t="n">
        <f aca="false">Serving!E22*2</f>
        <v>10</v>
      </c>
      <c r="M248" s="28" t="s">
        <v>4523</v>
      </c>
      <c r="N248" s="6" t="s">
        <v>4524</v>
      </c>
      <c r="O248" s="6" t="s">
        <v>620</v>
      </c>
      <c r="P248" s="224" t="s">
        <v>3885</v>
      </c>
      <c r="Q248" s="192" t="n">
        <f aca="false">Serving!E22</f>
        <v>5</v>
      </c>
      <c r="R248" s="28" t="s">
        <v>620</v>
      </c>
      <c r="S248" s="42" t="str">
        <f aca="false">IF(ISNUMBER($AF248),INDEX(IDX_SrcStat,$AF248),"—")</f>
        <v>—</v>
      </c>
      <c r="T248" s="42" t="str">
        <f aca="false">IF(ISNUMBER($AF248),INDEX(IDX_SrcGrade,$AF248),"—")</f>
        <v>—</v>
      </c>
      <c r="U248" s="42" t="s">
        <v>3886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2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2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4527</v>
      </c>
      <c r="B249" s="224" t="s">
        <v>3880</v>
      </c>
      <c r="C249" s="28" t="s">
        <v>4478</v>
      </c>
      <c r="D249" s="28" t="s">
        <v>4159</v>
      </c>
      <c r="E249" s="19" t="s">
        <v>4528</v>
      </c>
      <c r="F249" s="28" t="s">
        <v>100</v>
      </c>
      <c r="G249" s="224" t="s">
        <v>3882</v>
      </c>
      <c r="H249" s="28" t="s">
        <v>620</v>
      </c>
      <c r="I249" s="6" t="s">
        <v>620</v>
      </c>
      <c r="J249" s="28" t="s">
        <v>620</v>
      </c>
      <c r="K249" s="177" t="n">
        <f aca="false">Serving!C23*0.5</f>
        <v>4096</v>
      </c>
      <c r="L249" s="177" t="n">
        <f aca="false">Serving!C23*2</f>
        <v>16384</v>
      </c>
      <c r="M249" s="28" t="s">
        <v>4523</v>
      </c>
      <c r="N249" s="19" t="s">
        <v>4529</v>
      </c>
      <c r="O249" s="6" t="s">
        <v>620</v>
      </c>
      <c r="P249" s="224" t="s">
        <v>1151</v>
      </c>
      <c r="Q249" s="47" t="n">
        <f aca="false">Serving!C23</f>
        <v>8192</v>
      </c>
      <c r="R249" s="28" t="s">
        <v>620</v>
      </c>
      <c r="S249" s="42" t="str">
        <f aca="false">IF(ISNUMBER($AF249),INDEX(IDX_SrcStat,$AF249),"—")</f>
        <v>—</v>
      </c>
      <c r="T249" s="42" t="str">
        <f aca="false">IF(ISNUMBER($AF249),INDEX(IDX_SrcGrade,$AF249),"—")</f>
        <v>—</v>
      </c>
      <c r="U249" s="42" t="s">
        <v>3886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2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2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4530</v>
      </c>
      <c r="B250" s="224" t="s">
        <v>3880</v>
      </c>
      <c r="C250" s="28" t="s">
        <v>4478</v>
      </c>
      <c r="D250" s="28" t="s">
        <v>4017</v>
      </c>
      <c r="E250" s="19" t="s">
        <v>4528</v>
      </c>
      <c r="F250" s="28" t="s">
        <v>100</v>
      </c>
      <c r="G250" s="224" t="s">
        <v>3882</v>
      </c>
      <c r="H250" s="28" t="s">
        <v>620</v>
      </c>
      <c r="I250" s="6" t="s">
        <v>620</v>
      </c>
      <c r="J250" s="28" t="s">
        <v>620</v>
      </c>
      <c r="K250" s="177" t="n">
        <f aca="false">Serving!D23*0.5</f>
        <v>8192</v>
      </c>
      <c r="L250" s="177" t="n">
        <v>68000</v>
      </c>
      <c r="M250" s="28" t="s">
        <v>4523</v>
      </c>
      <c r="N250" s="19" t="s">
        <v>4531</v>
      </c>
      <c r="O250" s="6" t="s">
        <v>620</v>
      </c>
      <c r="P250" s="224" t="s">
        <v>1151</v>
      </c>
      <c r="Q250" s="47" t="n">
        <f aca="false">Serving!D23</f>
        <v>16384</v>
      </c>
      <c r="R250" s="28" t="s">
        <v>620</v>
      </c>
      <c r="S250" s="42" t="str">
        <f aca="false">IF(ISNUMBER($AF250),INDEX(IDX_SrcStat,$AF250),"—")</f>
        <v>—</v>
      </c>
      <c r="T250" s="42" t="str">
        <f aca="false">IF(ISNUMBER($AF250),INDEX(IDX_SrcGrade,$AF250),"—")</f>
        <v>—</v>
      </c>
      <c r="U250" s="42" t="s">
        <v>3886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2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2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4532</v>
      </c>
      <c r="B251" s="224" t="s">
        <v>3880</v>
      </c>
      <c r="C251" s="28" t="s">
        <v>4478</v>
      </c>
      <c r="D251" s="28" t="s">
        <v>4022</v>
      </c>
      <c r="E251" s="19" t="s">
        <v>4528</v>
      </c>
      <c r="F251" s="28" t="s">
        <v>100</v>
      </c>
      <c r="G251" s="224" t="s">
        <v>3882</v>
      </c>
      <c r="H251" s="28" t="s">
        <v>620</v>
      </c>
      <c r="I251" s="6" t="s">
        <v>620</v>
      </c>
      <c r="J251" s="28" t="s">
        <v>620</v>
      </c>
      <c r="K251" s="177" t="n">
        <f aca="false">Serving!E23*0.5</f>
        <v>16384</v>
      </c>
      <c r="L251" s="177" t="n">
        <v>68000</v>
      </c>
      <c r="M251" s="28" t="s">
        <v>4523</v>
      </c>
      <c r="N251" s="19" t="s">
        <v>4531</v>
      </c>
      <c r="O251" s="6" t="s">
        <v>620</v>
      </c>
      <c r="P251" s="224" t="s">
        <v>1151</v>
      </c>
      <c r="Q251" s="47" t="n">
        <f aca="false">Serving!E23</f>
        <v>32768</v>
      </c>
      <c r="R251" s="28" t="s">
        <v>620</v>
      </c>
      <c r="S251" s="42" t="str">
        <f aca="false">IF(ISNUMBER($AF251),INDEX(IDX_SrcStat,$AF251),"—")</f>
        <v>—</v>
      </c>
      <c r="T251" s="42" t="str">
        <f aca="false">IF(ISNUMBER($AF251),INDEX(IDX_SrcGrade,$AF251),"—")</f>
        <v>—</v>
      </c>
      <c r="U251" s="42" t="s">
        <v>3886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2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2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4533</v>
      </c>
      <c r="B252" s="224" t="s">
        <v>3880</v>
      </c>
      <c r="C252" s="28" t="s">
        <v>4478</v>
      </c>
      <c r="D252" s="28" t="s">
        <v>4176</v>
      </c>
      <c r="E252" s="19" t="s">
        <v>4534</v>
      </c>
      <c r="F252" s="28" t="s">
        <v>100</v>
      </c>
      <c r="G252" s="224" t="s">
        <v>3882</v>
      </c>
      <c r="H252" s="28" t="s">
        <v>620</v>
      </c>
      <c r="I252" s="6" t="s">
        <v>620</v>
      </c>
      <c r="J252" s="28" t="s">
        <v>620</v>
      </c>
      <c r="K252" s="226" t="n">
        <v>400</v>
      </c>
      <c r="L252" s="177" t="n">
        <f aca="false">Serving!C24*2</f>
        <v>2048</v>
      </c>
      <c r="M252" s="28" t="s">
        <v>4535</v>
      </c>
      <c r="N252" s="19" t="s">
        <v>4536</v>
      </c>
      <c r="O252" s="6" t="s">
        <v>620</v>
      </c>
      <c r="P252" s="224" t="s">
        <v>1151</v>
      </c>
      <c r="Q252" s="47" t="n">
        <f aca="false">Serving!C24</f>
        <v>1024</v>
      </c>
      <c r="R252" s="28" t="s">
        <v>620</v>
      </c>
      <c r="S252" s="42" t="str">
        <f aca="false">IF(ISNUMBER($AF252),INDEX(IDX_SrcStat,$AF252),"—")</f>
        <v>—</v>
      </c>
      <c r="T252" s="42" t="str">
        <f aca="false">IF(ISNUMBER($AF252),INDEX(IDX_SrcGrade,$AF252),"—")</f>
        <v>—</v>
      </c>
      <c r="U252" s="42" t="s">
        <v>3886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2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2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4537</v>
      </c>
      <c r="B253" s="224" t="s">
        <v>3880</v>
      </c>
      <c r="C253" s="28" t="s">
        <v>4478</v>
      </c>
      <c r="D253" s="28" t="s">
        <v>4180</v>
      </c>
      <c r="E253" s="19" t="s">
        <v>4534</v>
      </c>
      <c r="F253" s="28" t="s">
        <v>100</v>
      </c>
      <c r="G253" s="224" t="s">
        <v>3882</v>
      </c>
      <c r="H253" s="28" t="s">
        <v>620</v>
      </c>
      <c r="I253" s="6" t="s">
        <v>620</v>
      </c>
      <c r="J253" s="28" t="s">
        <v>620</v>
      </c>
      <c r="K253" s="177" t="n">
        <f aca="false">Serving!D24*0.5</f>
        <v>1024</v>
      </c>
      <c r="L253" s="177" t="n">
        <f aca="false">Serving!D24*2</f>
        <v>4096</v>
      </c>
      <c r="M253" s="28" t="s">
        <v>4523</v>
      </c>
      <c r="N253" s="19" t="s">
        <v>4536</v>
      </c>
      <c r="O253" s="6" t="s">
        <v>620</v>
      </c>
      <c r="P253" s="224" t="s">
        <v>1151</v>
      </c>
      <c r="Q253" s="47" t="n">
        <f aca="false">Serving!D24</f>
        <v>2048</v>
      </c>
      <c r="R253" s="28" t="s">
        <v>620</v>
      </c>
      <c r="S253" s="42" t="str">
        <f aca="false">IF(ISNUMBER($AF253),INDEX(IDX_SrcStat,$AF253),"—")</f>
        <v>—</v>
      </c>
      <c r="T253" s="42" t="str">
        <f aca="false">IF(ISNUMBER($AF253),INDEX(IDX_SrcGrade,$AF253),"—")</f>
        <v>—</v>
      </c>
      <c r="U253" s="42" t="s">
        <v>3886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2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2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4538</v>
      </c>
      <c r="B254" s="224" t="s">
        <v>3880</v>
      </c>
      <c r="C254" s="28" t="s">
        <v>4478</v>
      </c>
      <c r="D254" s="28" t="s">
        <v>4027</v>
      </c>
      <c r="E254" s="19" t="s">
        <v>4534</v>
      </c>
      <c r="F254" s="28" t="s">
        <v>100</v>
      </c>
      <c r="G254" s="224" t="s">
        <v>3882</v>
      </c>
      <c r="H254" s="28" t="s">
        <v>620</v>
      </c>
      <c r="I254" s="6" t="s">
        <v>620</v>
      </c>
      <c r="J254" s="28" t="s">
        <v>620</v>
      </c>
      <c r="K254" s="177" t="n">
        <f aca="false">Serving!E24*0.5</f>
        <v>2048</v>
      </c>
      <c r="L254" s="177" t="n">
        <f aca="false">Serving!E24*2</f>
        <v>8192</v>
      </c>
      <c r="M254" s="28" t="s">
        <v>4523</v>
      </c>
      <c r="N254" s="19" t="s">
        <v>4536</v>
      </c>
      <c r="O254" s="6" t="s">
        <v>620</v>
      </c>
      <c r="P254" s="224" t="s">
        <v>1151</v>
      </c>
      <c r="Q254" s="47" t="n">
        <f aca="false">Serving!E24</f>
        <v>4096</v>
      </c>
      <c r="R254" s="28" t="s">
        <v>620</v>
      </c>
      <c r="S254" s="42" t="str">
        <f aca="false">IF(ISNUMBER($AF254),INDEX(IDX_SrcStat,$AF254),"—")</f>
        <v>—</v>
      </c>
      <c r="T254" s="42" t="str">
        <f aca="false">IF(ISNUMBER($AF254),INDEX(IDX_SrcGrade,$AF254),"—")</f>
        <v>—</v>
      </c>
      <c r="U254" s="42" t="s">
        <v>3886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2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2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4539</v>
      </c>
      <c r="B255" s="224" t="s">
        <v>3880</v>
      </c>
      <c r="C255" s="28" t="s">
        <v>4540</v>
      </c>
      <c r="D255" s="28" t="s">
        <v>4541</v>
      </c>
      <c r="E255" s="19" t="s">
        <v>4542</v>
      </c>
      <c r="F255" s="28" t="s">
        <v>100</v>
      </c>
      <c r="G255" s="224" t="s">
        <v>3882</v>
      </c>
      <c r="H255" s="28" t="s">
        <v>620</v>
      </c>
      <c r="I255" s="6" t="s">
        <v>620</v>
      </c>
      <c r="J255" s="28" t="s">
        <v>620</v>
      </c>
      <c r="K255" s="177" t="n">
        <f aca="false">MAX(1,Workload!C5*0.5)</f>
        <v>1</v>
      </c>
      <c r="L255" s="177" t="n">
        <f aca="false">Workload!C5*2</f>
        <v>2</v>
      </c>
      <c r="M255" s="28" t="s">
        <v>4543</v>
      </c>
      <c r="N255" s="19" t="s">
        <v>4544</v>
      </c>
      <c r="O255" s="6" t="s">
        <v>620</v>
      </c>
      <c r="P255" s="224" t="s">
        <v>1151</v>
      </c>
      <c r="Q255" s="47" t="n">
        <f aca="false">Workload!C5</f>
        <v>1</v>
      </c>
      <c r="R255" s="28" t="s">
        <v>620</v>
      </c>
      <c r="S255" s="42" t="str">
        <f aca="false">IF(ISNUMBER($AF255),INDEX(IDX_SrcStat,$AF255),"—")</f>
        <v>—</v>
      </c>
      <c r="T255" s="42" t="str">
        <f aca="false">IF(ISNUMBER($AF255),INDEX(IDX_SrcGrade,$AF255),"—")</f>
        <v>—</v>
      </c>
      <c r="U255" s="42" t="s">
        <v>3886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2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2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4545</v>
      </c>
      <c r="B256" s="224" t="s">
        <v>3880</v>
      </c>
      <c r="C256" s="28" t="s">
        <v>4540</v>
      </c>
      <c r="D256" s="28" t="s">
        <v>4546</v>
      </c>
      <c r="E256" s="19" t="s">
        <v>4542</v>
      </c>
      <c r="F256" s="28" t="s">
        <v>100</v>
      </c>
      <c r="G256" s="224" t="s">
        <v>3882</v>
      </c>
      <c r="H256" s="28" t="s">
        <v>620</v>
      </c>
      <c r="I256" s="6" t="s">
        <v>620</v>
      </c>
      <c r="J256" s="28" t="s">
        <v>620</v>
      </c>
      <c r="K256" s="177" t="n">
        <f aca="false">MAX(1,Workload!D5*0.5)</f>
        <v>1</v>
      </c>
      <c r="L256" s="177" t="n">
        <f aca="false">Workload!D5*2</f>
        <v>2</v>
      </c>
      <c r="M256" s="28" t="s">
        <v>4543</v>
      </c>
      <c r="N256" s="19" t="s">
        <v>4544</v>
      </c>
      <c r="O256" s="6" t="s">
        <v>620</v>
      </c>
      <c r="P256" s="224" t="s">
        <v>1151</v>
      </c>
      <c r="Q256" s="47" t="n">
        <f aca="false">Workload!D5</f>
        <v>1</v>
      </c>
      <c r="R256" s="28" t="s">
        <v>620</v>
      </c>
      <c r="S256" s="42" t="str">
        <f aca="false">IF(ISNUMBER($AF256),INDEX(IDX_SrcStat,$AF256),"—")</f>
        <v>—</v>
      </c>
      <c r="T256" s="42" t="str">
        <f aca="false">IF(ISNUMBER($AF256),INDEX(IDX_SrcGrade,$AF256),"—")</f>
        <v>—</v>
      </c>
      <c r="U256" s="42" t="s">
        <v>3886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2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2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4547</v>
      </c>
      <c r="B257" s="224" t="s">
        <v>3880</v>
      </c>
      <c r="C257" s="28" t="s">
        <v>4540</v>
      </c>
      <c r="D257" s="28" t="s">
        <v>3731</v>
      </c>
      <c r="E257" s="19" t="s">
        <v>4542</v>
      </c>
      <c r="F257" s="28" t="s">
        <v>100</v>
      </c>
      <c r="G257" s="224" t="s">
        <v>3882</v>
      </c>
      <c r="H257" s="28" t="s">
        <v>620</v>
      </c>
      <c r="I257" s="6" t="s">
        <v>620</v>
      </c>
      <c r="J257" s="28" t="s">
        <v>620</v>
      </c>
      <c r="K257" s="177" t="n">
        <f aca="false">MAX(1,Workload!E5*0.5)</f>
        <v>2</v>
      </c>
      <c r="L257" s="177" t="n">
        <f aca="false">Workload!E5*2</f>
        <v>8</v>
      </c>
      <c r="M257" s="28" t="s">
        <v>4543</v>
      </c>
      <c r="N257" s="19" t="s">
        <v>4544</v>
      </c>
      <c r="O257" s="6" t="s">
        <v>620</v>
      </c>
      <c r="P257" s="224" t="s">
        <v>1151</v>
      </c>
      <c r="Q257" s="47" t="n">
        <f aca="false">Workload!E5</f>
        <v>4</v>
      </c>
      <c r="R257" s="28" t="s">
        <v>620</v>
      </c>
      <c r="S257" s="42" t="str">
        <f aca="false">IF(ISNUMBER($AF257),INDEX(IDX_SrcStat,$AF257),"—")</f>
        <v>—</v>
      </c>
      <c r="T257" s="42" t="str">
        <f aca="false">IF(ISNUMBER($AF257),INDEX(IDX_SrcGrade,$AF257),"—")</f>
        <v>—</v>
      </c>
      <c r="U257" s="42" t="s">
        <v>3886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2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2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4548</v>
      </c>
      <c r="B258" s="224" t="s">
        <v>3880</v>
      </c>
      <c r="C258" s="28" t="s">
        <v>4540</v>
      </c>
      <c r="D258" s="28" t="s">
        <v>4549</v>
      </c>
      <c r="E258" s="19" t="s">
        <v>4542</v>
      </c>
      <c r="F258" s="28" t="s">
        <v>100</v>
      </c>
      <c r="G258" s="224" t="s">
        <v>3882</v>
      </c>
      <c r="H258" s="28" t="s">
        <v>620</v>
      </c>
      <c r="I258" s="6" t="s">
        <v>620</v>
      </c>
      <c r="J258" s="28" t="s">
        <v>620</v>
      </c>
      <c r="K258" s="177" t="n">
        <f aca="false">MAX(1,Workload!F5*0.5)</f>
        <v>2</v>
      </c>
      <c r="L258" s="177" t="n">
        <f aca="false">Workload!F5*2</f>
        <v>8</v>
      </c>
      <c r="M258" s="28" t="s">
        <v>4543</v>
      </c>
      <c r="N258" s="19" t="s">
        <v>4544</v>
      </c>
      <c r="O258" s="6" t="s">
        <v>620</v>
      </c>
      <c r="P258" s="224" t="s">
        <v>1151</v>
      </c>
      <c r="Q258" s="47" t="n">
        <f aca="false">Workload!F5</f>
        <v>4</v>
      </c>
      <c r="R258" s="28" t="s">
        <v>620</v>
      </c>
      <c r="S258" s="42" t="str">
        <f aca="false">IF(ISNUMBER($AF258),INDEX(IDX_SrcStat,$AF258),"—")</f>
        <v>—</v>
      </c>
      <c r="T258" s="42" t="str">
        <f aca="false">IF(ISNUMBER($AF258),INDEX(IDX_SrcGrade,$AF258),"—")</f>
        <v>—</v>
      </c>
      <c r="U258" s="42" t="s">
        <v>3886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2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2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4550</v>
      </c>
      <c r="B259" s="224" t="s">
        <v>3880</v>
      </c>
      <c r="C259" s="28" t="s">
        <v>4540</v>
      </c>
      <c r="D259" s="28" t="s">
        <v>4551</v>
      </c>
      <c r="E259" s="19" t="s">
        <v>4542</v>
      </c>
      <c r="F259" s="28" t="s">
        <v>100</v>
      </c>
      <c r="G259" s="224" t="s">
        <v>3882</v>
      </c>
      <c r="H259" s="28" t="s">
        <v>620</v>
      </c>
      <c r="I259" s="6" t="s">
        <v>620</v>
      </c>
      <c r="J259" s="28" t="s">
        <v>620</v>
      </c>
      <c r="K259" s="177" t="n">
        <f aca="false">MAX(1,Workload!G5*0.5)</f>
        <v>15</v>
      </c>
      <c r="L259" s="177" t="n">
        <f aca="false">Workload!G5*2</f>
        <v>60</v>
      </c>
      <c r="M259" s="28" t="s">
        <v>4543</v>
      </c>
      <c r="N259" s="19" t="s">
        <v>4552</v>
      </c>
      <c r="O259" s="6" t="s">
        <v>620</v>
      </c>
      <c r="P259" s="224" t="s">
        <v>1151</v>
      </c>
      <c r="Q259" s="47" t="n">
        <f aca="false">Workload!G5</f>
        <v>30</v>
      </c>
      <c r="R259" s="28" t="s">
        <v>620</v>
      </c>
      <c r="S259" s="42" t="str">
        <f aca="false">IF(ISNUMBER($AF259),INDEX(IDX_SrcStat,$AF259),"—")</f>
        <v>—</v>
      </c>
      <c r="T259" s="42" t="str">
        <f aca="false">IF(ISNUMBER($AF259),INDEX(IDX_SrcGrade,$AF259),"—")</f>
        <v>—</v>
      </c>
      <c r="U259" s="42" t="s">
        <v>3886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2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2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4553</v>
      </c>
      <c r="B260" s="224" t="s">
        <v>3880</v>
      </c>
      <c r="C260" s="28" t="s">
        <v>4540</v>
      </c>
      <c r="D260" s="28" t="s">
        <v>4045</v>
      </c>
      <c r="E260" s="19" t="s">
        <v>4554</v>
      </c>
      <c r="F260" s="28" t="s">
        <v>100</v>
      </c>
      <c r="G260" s="224" t="s">
        <v>3882</v>
      </c>
      <c r="H260" s="28" t="s">
        <v>620</v>
      </c>
      <c r="I260" s="6" t="s">
        <v>620</v>
      </c>
      <c r="J260" s="28" t="s">
        <v>620</v>
      </c>
      <c r="K260" s="177" t="n">
        <f aca="false">Workload!C6*0.5</f>
        <v>1000</v>
      </c>
      <c r="L260" s="177" t="n">
        <f aca="false">Workload!C6*2</f>
        <v>4000</v>
      </c>
      <c r="M260" s="28" t="s">
        <v>4523</v>
      </c>
      <c r="N260" s="19" t="s">
        <v>4555</v>
      </c>
      <c r="O260" s="6" t="s">
        <v>620</v>
      </c>
      <c r="P260" s="224" t="s">
        <v>1150</v>
      </c>
      <c r="Q260" s="47" t="n">
        <f aca="false">Workload!C6</f>
        <v>2000</v>
      </c>
      <c r="R260" s="28" t="s">
        <v>620</v>
      </c>
      <c r="S260" s="42" t="str">
        <f aca="false">IF(ISNUMBER($AF260),INDEX(IDX_SrcStat,$AF260),"—")</f>
        <v>—</v>
      </c>
      <c r="T260" s="42" t="str">
        <f aca="false">IF(ISNUMBER($AF260),INDEX(IDX_SrcGrade,$AF260),"—")</f>
        <v>—</v>
      </c>
      <c r="U260" s="42" t="s">
        <v>3886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2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2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4556</v>
      </c>
      <c r="B261" s="224" t="s">
        <v>3880</v>
      </c>
      <c r="C261" s="28" t="s">
        <v>4540</v>
      </c>
      <c r="D261" s="28" t="s">
        <v>4049</v>
      </c>
      <c r="E261" s="19" t="s">
        <v>4554</v>
      </c>
      <c r="F261" s="28" t="s">
        <v>100</v>
      </c>
      <c r="G261" s="224" t="s">
        <v>3882</v>
      </c>
      <c r="H261" s="28" t="s">
        <v>620</v>
      </c>
      <c r="I261" s="6" t="s">
        <v>620</v>
      </c>
      <c r="J261" s="28" t="s">
        <v>620</v>
      </c>
      <c r="K261" s="177" t="n">
        <f aca="false">Workload!D6*0.5</f>
        <v>1000</v>
      </c>
      <c r="L261" s="177" t="n">
        <f aca="false">Workload!D6*2</f>
        <v>4000</v>
      </c>
      <c r="M261" s="28" t="s">
        <v>4523</v>
      </c>
      <c r="N261" s="19" t="s">
        <v>4555</v>
      </c>
      <c r="O261" s="6" t="s">
        <v>620</v>
      </c>
      <c r="P261" s="224" t="s">
        <v>1150</v>
      </c>
      <c r="Q261" s="47" t="n">
        <f aca="false">Workload!D6</f>
        <v>2000</v>
      </c>
      <c r="R261" s="28" t="s">
        <v>620</v>
      </c>
      <c r="S261" s="42" t="str">
        <f aca="false">IF(ISNUMBER($AF261),INDEX(IDX_SrcStat,$AF261),"—")</f>
        <v>—</v>
      </c>
      <c r="T261" s="42" t="str">
        <f aca="false">IF(ISNUMBER($AF261),INDEX(IDX_SrcGrade,$AF261),"—")</f>
        <v>—</v>
      </c>
      <c r="U261" s="42" t="s">
        <v>3886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2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2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4557</v>
      </c>
      <c r="B262" s="224" t="s">
        <v>3880</v>
      </c>
      <c r="C262" s="28" t="s">
        <v>4540</v>
      </c>
      <c r="D262" s="28" t="s">
        <v>3733</v>
      </c>
      <c r="E262" s="19" t="s">
        <v>4554</v>
      </c>
      <c r="F262" s="28" t="s">
        <v>100</v>
      </c>
      <c r="G262" s="224" t="s">
        <v>3882</v>
      </c>
      <c r="H262" s="28" t="s">
        <v>620</v>
      </c>
      <c r="I262" s="6" t="s">
        <v>620</v>
      </c>
      <c r="J262" s="28" t="s">
        <v>620</v>
      </c>
      <c r="K262" s="177" t="n">
        <f aca="false">Workload!E6*0.5</f>
        <v>1500</v>
      </c>
      <c r="L262" s="177" t="n">
        <f aca="false">Workload!E6*2</f>
        <v>6000</v>
      </c>
      <c r="M262" s="28" t="s">
        <v>4523</v>
      </c>
      <c r="N262" s="19" t="s">
        <v>4555</v>
      </c>
      <c r="O262" s="6" t="s">
        <v>620</v>
      </c>
      <c r="P262" s="224" t="s">
        <v>1150</v>
      </c>
      <c r="Q262" s="47" t="n">
        <f aca="false">Workload!E6</f>
        <v>3000</v>
      </c>
      <c r="R262" s="28" t="s">
        <v>620</v>
      </c>
      <c r="S262" s="42" t="str">
        <f aca="false">IF(ISNUMBER($AF262),INDEX(IDX_SrcStat,$AF262),"—")</f>
        <v>—</v>
      </c>
      <c r="T262" s="42" t="str">
        <f aca="false">IF(ISNUMBER($AF262),INDEX(IDX_SrcGrade,$AF262),"—")</f>
        <v>—</v>
      </c>
      <c r="U262" s="42" t="s">
        <v>3886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2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2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4558</v>
      </c>
      <c r="B263" s="224" t="s">
        <v>3880</v>
      </c>
      <c r="C263" s="28" t="s">
        <v>4540</v>
      </c>
      <c r="D263" s="28" t="s">
        <v>4053</v>
      </c>
      <c r="E263" s="19" t="s">
        <v>4554</v>
      </c>
      <c r="F263" s="28" t="s">
        <v>100</v>
      </c>
      <c r="G263" s="224" t="s">
        <v>3882</v>
      </c>
      <c r="H263" s="28" t="s">
        <v>620</v>
      </c>
      <c r="I263" s="6" t="s">
        <v>620</v>
      </c>
      <c r="J263" s="28" t="s">
        <v>620</v>
      </c>
      <c r="K263" s="177" t="n">
        <f aca="false">Workload!F6*0.5</f>
        <v>1500</v>
      </c>
      <c r="L263" s="177" t="n">
        <f aca="false">Workload!F6*2</f>
        <v>6000</v>
      </c>
      <c r="M263" s="28" t="s">
        <v>4523</v>
      </c>
      <c r="N263" s="19" t="s">
        <v>4555</v>
      </c>
      <c r="O263" s="6" t="s">
        <v>620</v>
      </c>
      <c r="P263" s="224" t="s">
        <v>1150</v>
      </c>
      <c r="Q263" s="47" t="n">
        <f aca="false">Workload!F6</f>
        <v>3000</v>
      </c>
      <c r="R263" s="28" t="s">
        <v>620</v>
      </c>
      <c r="S263" s="42" t="str">
        <f aca="false">IF(ISNUMBER($AF263),INDEX(IDX_SrcStat,$AF263),"—")</f>
        <v>—</v>
      </c>
      <c r="T263" s="42" t="str">
        <f aca="false">IF(ISNUMBER($AF263),INDEX(IDX_SrcGrade,$AF263),"—")</f>
        <v>—</v>
      </c>
      <c r="U263" s="42" t="s">
        <v>3886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2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2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4559</v>
      </c>
      <c r="B264" s="224" t="s">
        <v>3880</v>
      </c>
      <c r="C264" s="28" t="s">
        <v>4540</v>
      </c>
      <c r="D264" s="28" t="s">
        <v>4055</v>
      </c>
      <c r="E264" s="19" t="s">
        <v>4554</v>
      </c>
      <c r="F264" s="28" t="s">
        <v>100</v>
      </c>
      <c r="G264" s="224" t="s">
        <v>3882</v>
      </c>
      <c r="H264" s="28" t="s">
        <v>620</v>
      </c>
      <c r="I264" s="6" t="s">
        <v>620</v>
      </c>
      <c r="J264" s="28" t="s">
        <v>620</v>
      </c>
      <c r="K264" s="177" t="n">
        <f aca="false">Workload!G6*0.5</f>
        <v>6000</v>
      </c>
      <c r="L264" s="177" t="n">
        <f aca="false">Workload!G6*2</f>
        <v>24000</v>
      </c>
      <c r="M264" s="28" t="s">
        <v>4523</v>
      </c>
      <c r="N264" s="19" t="s">
        <v>4555</v>
      </c>
      <c r="O264" s="6" t="s">
        <v>620</v>
      </c>
      <c r="P264" s="224" t="s">
        <v>1150</v>
      </c>
      <c r="Q264" s="47" t="n">
        <f aca="false">Workload!G6</f>
        <v>12000</v>
      </c>
      <c r="R264" s="28" t="s">
        <v>620</v>
      </c>
      <c r="S264" s="42" t="str">
        <f aca="false">IF(ISNUMBER($AF264),INDEX(IDX_SrcStat,$AF264),"—")</f>
        <v>—</v>
      </c>
      <c r="T264" s="42" t="str">
        <f aca="false">IF(ISNUMBER($AF264),INDEX(IDX_SrcGrade,$AF264),"—")</f>
        <v>—</v>
      </c>
      <c r="U264" s="42" t="s">
        <v>3886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2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2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4560</v>
      </c>
      <c r="B265" s="224" t="s">
        <v>3880</v>
      </c>
      <c r="C265" s="28" t="s">
        <v>4540</v>
      </c>
      <c r="D265" s="28" t="s">
        <v>4372</v>
      </c>
      <c r="E265" s="19" t="s">
        <v>4561</v>
      </c>
      <c r="F265" s="28" t="s">
        <v>100</v>
      </c>
      <c r="G265" s="224" t="s">
        <v>3882</v>
      </c>
      <c r="H265" s="28" t="s">
        <v>620</v>
      </c>
      <c r="I265" s="6" t="s">
        <v>620</v>
      </c>
      <c r="J265" s="28" t="s">
        <v>620</v>
      </c>
      <c r="K265" s="177" t="n">
        <f aca="false">Workload!C7*0.5</f>
        <v>250</v>
      </c>
      <c r="L265" s="177" t="n">
        <f aca="false">Workload!C7*2</f>
        <v>1000</v>
      </c>
      <c r="M265" s="28" t="s">
        <v>4523</v>
      </c>
      <c r="N265" s="19" t="s">
        <v>4555</v>
      </c>
      <c r="O265" s="6" t="s">
        <v>620</v>
      </c>
      <c r="P265" s="224" t="s">
        <v>3941</v>
      </c>
      <c r="Q265" s="47" t="n">
        <f aca="false">Workload!C7</f>
        <v>500</v>
      </c>
      <c r="R265" s="28" t="s">
        <v>620</v>
      </c>
      <c r="S265" s="42" t="str">
        <f aca="false">IF(ISNUMBER($AF265),INDEX(IDX_SrcStat,$AF265),"—")</f>
        <v>—</v>
      </c>
      <c r="T265" s="42" t="str">
        <f aca="false">IF(ISNUMBER($AF265),INDEX(IDX_SrcGrade,$AF265),"—")</f>
        <v>—</v>
      </c>
      <c r="U265" s="42" t="s">
        <v>3886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2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2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4562</v>
      </c>
      <c r="B266" s="224" t="s">
        <v>3880</v>
      </c>
      <c r="C266" s="28" t="s">
        <v>4540</v>
      </c>
      <c r="D266" s="28" t="s">
        <v>4375</v>
      </c>
      <c r="E266" s="19" t="s">
        <v>4561</v>
      </c>
      <c r="F266" s="28" t="s">
        <v>100</v>
      </c>
      <c r="G266" s="224" t="s">
        <v>3882</v>
      </c>
      <c r="H266" s="28" t="s">
        <v>620</v>
      </c>
      <c r="I266" s="6" t="s">
        <v>620</v>
      </c>
      <c r="J266" s="28" t="s">
        <v>620</v>
      </c>
      <c r="K266" s="177" t="n">
        <f aca="false">Workload!D7*0.5</f>
        <v>250</v>
      </c>
      <c r="L266" s="177" t="n">
        <f aca="false">Workload!D7*2</f>
        <v>1000</v>
      </c>
      <c r="M266" s="28" t="s">
        <v>4523</v>
      </c>
      <c r="N266" s="19" t="s">
        <v>4555</v>
      </c>
      <c r="O266" s="6" t="s">
        <v>620</v>
      </c>
      <c r="P266" s="224" t="s">
        <v>3941</v>
      </c>
      <c r="Q266" s="47" t="n">
        <f aca="false">Workload!D7</f>
        <v>500</v>
      </c>
      <c r="R266" s="28" t="s">
        <v>620</v>
      </c>
      <c r="S266" s="42" t="str">
        <f aca="false">IF(ISNUMBER($AF266),INDEX(IDX_SrcStat,$AF266),"—")</f>
        <v>—</v>
      </c>
      <c r="T266" s="42" t="str">
        <f aca="false">IF(ISNUMBER($AF266),INDEX(IDX_SrcGrade,$AF266),"—")</f>
        <v>—</v>
      </c>
      <c r="U266" s="42" t="s">
        <v>3886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2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2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4563</v>
      </c>
      <c r="B267" s="224" t="s">
        <v>3880</v>
      </c>
      <c r="C267" s="28" t="s">
        <v>4540</v>
      </c>
      <c r="D267" s="28" t="s">
        <v>3736</v>
      </c>
      <c r="E267" s="19" t="s">
        <v>4561</v>
      </c>
      <c r="F267" s="28" t="s">
        <v>100</v>
      </c>
      <c r="G267" s="224" t="s">
        <v>3882</v>
      </c>
      <c r="H267" s="28" t="s">
        <v>620</v>
      </c>
      <c r="I267" s="6" t="s">
        <v>620</v>
      </c>
      <c r="J267" s="28" t="s">
        <v>620</v>
      </c>
      <c r="K267" s="177" t="n">
        <f aca="false">Workload!E7*0.5</f>
        <v>600</v>
      </c>
      <c r="L267" s="177" t="n">
        <f aca="false">Workload!E7*2</f>
        <v>2400</v>
      </c>
      <c r="M267" s="28" t="s">
        <v>4523</v>
      </c>
      <c r="N267" s="19" t="s">
        <v>4555</v>
      </c>
      <c r="O267" s="6" t="s">
        <v>620</v>
      </c>
      <c r="P267" s="224" t="s">
        <v>3941</v>
      </c>
      <c r="Q267" s="47" t="n">
        <f aca="false">Workload!E7</f>
        <v>1200</v>
      </c>
      <c r="R267" s="28" t="s">
        <v>620</v>
      </c>
      <c r="S267" s="42" t="str">
        <f aca="false">IF(ISNUMBER($AF267),INDEX(IDX_SrcStat,$AF267),"—")</f>
        <v>—</v>
      </c>
      <c r="T267" s="42" t="str">
        <f aca="false">IF(ISNUMBER($AF267),INDEX(IDX_SrcGrade,$AF267),"—")</f>
        <v>—</v>
      </c>
      <c r="U267" s="42" t="s">
        <v>3886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2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2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4564</v>
      </c>
      <c r="B268" s="224" t="s">
        <v>3880</v>
      </c>
      <c r="C268" s="28" t="s">
        <v>4540</v>
      </c>
      <c r="D268" s="28" t="s">
        <v>4565</v>
      </c>
      <c r="E268" s="19" t="s">
        <v>4561</v>
      </c>
      <c r="F268" s="28" t="s">
        <v>100</v>
      </c>
      <c r="G268" s="224" t="s">
        <v>3882</v>
      </c>
      <c r="H268" s="28" t="s">
        <v>620</v>
      </c>
      <c r="I268" s="6" t="s">
        <v>620</v>
      </c>
      <c r="J268" s="28" t="s">
        <v>620</v>
      </c>
      <c r="K268" s="177" t="n">
        <f aca="false">Workload!F7*0.5</f>
        <v>600</v>
      </c>
      <c r="L268" s="177" t="n">
        <f aca="false">Workload!F7*2</f>
        <v>2400</v>
      </c>
      <c r="M268" s="28" t="s">
        <v>4523</v>
      </c>
      <c r="N268" s="19" t="s">
        <v>4555</v>
      </c>
      <c r="O268" s="6" t="s">
        <v>620</v>
      </c>
      <c r="P268" s="224" t="s">
        <v>3941</v>
      </c>
      <c r="Q268" s="47" t="n">
        <f aca="false">Workload!F7</f>
        <v>1200</v>
      </c>
      <c r="R268" s="28" t="s">
        <v>620</v>
      </c>
      <c r="S268" s="42" t="str">
        <f aca="false">IF(ISNUMBER($AF268),INDEX(IDX_SrcStat,$AF268),"—")</f>
        <v>—</v>
      </c>
      <c r="T268" s="42" t="str">
        <f aca="false">IF(ISNUMBER($AF268),INDEX(IDX_SrcGrade,$AF268),"—")</f>
        <v>—</v>
      </c>
      <c r="U268" s="42" t="s">
        <v>3886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2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2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4566</v>
      </c>
      <c r="B269" s="224" t="s">
        <v>3880</v>
      </c>
      <c r="C269" s="28" t="s">
        <v>4540</v>
      </c>
      <c r="D269" s="28" t="s">
        <v>4567</v>
      </c>
      <c r="E269" s="19" t="s">
        <v>4561</v>
      </c>
      <c r="F269" s="28" t="s">
        <v>100</v>
      </c>
      <c r="G269" s="224" t="s">
        <v>3882</v>
      </c>
      <c r="H269" s="28" t="s">
        <v>620</v>
      </c>
      <c r="I269" s="6" t="s">
        <v>620</v>
      </c>
      <c r="J269" s="28" t="s">
        <v>620</v>
      </c>
      <c r="K269" s="177" t="n">
        <f aca="false">Workload!G7*0.5</f>
        <v>1000</v>
      </c>
      <c r="L269" s="177" t="n">
        <f aca="false">Workload!G7*2</f>
        <v>4000</v>
      </c>
      <c r="M269" s="28" t="s">
        <v>4523</v>
      </c>
      <c r="N269" s="19" t="s">
        <v>4555</v>
      </c>
      <c r="O269" s="6" t="s">
        <v>620</v>
      </c>
      <c r="P269" s="224" t="s">
        <v>3941</v>
      </c>
      <c r="Q269" s="47" t="n">
        <f aca="false">Workload!G7</f>
        <v>2000</v>
      </c>
      <c r="R269" s="28" t="s">
        <v>620</v>
      </c>
      <c r="S269" s="42" t="str">
        <f aca="false">IF(ISNUMBER($AF269),INDEX(IDX_SrcStat,$AF269),"—")</f>
        <v>—</v>
      </c>
      <c r="T269" s="42" t="str">
        <f aca="false">IF(ISNUMBER($AF269),INDEX(IDX_SrcGrade,$AF269),"—")</f>
        <v>—</v>
      </c>
      <c r="U269" s="42" t="s">
        <v>3886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2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2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4568</v>
      </c>
      <c r="B270" s="224" t="s">
        <v>3880</v>
      </c>
      <c r="C270" s="28" t="s">
        <v>4540</v>
      </c>
      <c r="D270" s="28" t="s">
        <v>4058</v>
      </c>
      <c r="E270" s="19" t="s">
        <v>4569</v>
      </c>
      <c r="F270" s="28" t="s">
        <v>100</v>
      </c>
      <c r="G270" s="224" t="s">
        <v>3882</v>
      </c>
      <c r="H270" s="28" t="s">
        <v>620</v>
      </c>
      <c r="I270" s="6" t="s">
        <v>620</v>
      </c>
      <c r="J270" s="28" t="s">
        <v>620</v>
      </c>
      <c r="K270" s="177" t="n">
        <f aca="false">Workload!C8*0.5</f>
        <v>0</v>
      </c>
      <c r="L270" s="177" t="n">
        <f aca="false">Workload!C8*2</f>
        <v>0</v>
      </c>
      <c r="M270" s="28" t="s">
        <v>4523</v>
      </c>
      <c r="N270" s="225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620</v>
      </c>
      <c r="P270" s="224" t="s">
        <v>3941</v>
      </c>
      <c r="Q270" s="47" t="n">
        <f aca="false">Workload!C8</f>
        <v>0</v>
      </c>
      <c r="R270" s="28" t="s">
        <v>620</v>
      </c>
      <c r="S270" s="42" t="str">
        <f aca="false">IF(ISNUMBER($AF270),INDEX(IDX_SrcStat,$AF270),"—")</f>
        <v>—</v>
      </c>
      <c r="T270" s="42" t="str">
        <f aca="false">IF(ISNUMBER($AF270),INDEX(IDX_SrcGrade,$AF270),"—")</f>
        <v>—</v>
      </c>
      <c r="U270" s="42" t="s">
        <v>3886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2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2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4570</v>
      </c>
      <c r="B271" s="224" t="s">
        <v>3880</v>
      </c>
      <c r="C271" s="28" t="s">
        <v>4540</v>
      </c>
      <c r="D271" s="28" t="s">
        <v>4061</v>
      </c>
      <c r="E271" s="19" t="s">
        <v>4569</v>
      </c>
      <c r="F271" s="28" t="s">
        <v>100</v>
      </c>
      <c r="G271" s="224" t="s">
        <v>3882</v>
      </c>
      <c r="H271" s="28" t="s">
        <v>620</v>
      </c>
      <c r="I271" s="6" t="s">
        <v>620</v>
      </c>
      <c r="J271" s="28" t="s">
        <v>620</v>
      </c>
      <c r="K271" s="177" t="n">
        <f aca="false">Workload!D8*0.5</f>
        <v>1500</v>
      </c>
      <c r="L271" s="177" t="n">
        <f aca="false">Workload!D8*2</f>
        <v>6000</v>
      </c>
      <c r="M271" s="28" t="s">
        <v>4523</v>
      </c>
      <c r="N271" s="225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620</v>
      </c>
      <c r="P271" s="224" t="s">
        <v>3941</v>
      </c>
      <c r="Q271" s="47" t="n">
        <f aca="false">Workload!D8</f>
        <v>3000</v>
      </c>
      <c r="R271" s="28" t="s">
        <v>620</v>
      </c>
      <c r="S271" s="42" t="str">
        <f aca="false">IF(ISNUMBER($AF271),INDEX(IDX_SrcStat,$AF271),"—")</f>
        <v>—</v>
      </c>
      <c r="T271" s="42" t="str">
        <f aca="false">IF(ISNUMBER($AF271),INDEX(IDX_SrcGrade,$AF271),"—")</f>
        <v>—</v>
      </c>
      <c r="U271" s="42" t="s">
        <v>3886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2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2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4571</v>
      </c>
      <c r="B272" s="224" t="s">
        <v>3880</v>
      </c>
      <c r="C272" s="28" t="s">
        <v>4540</v>
      </c>
      <c r="D272" s="28" t="s">
        <v>3739</v>
      </c>
      <c r="E272" s="19" t="s">
        <v>4569</v>
      </c>
      <c r="F272" s="28" t="s">
        <v>100</v>
      </c>
      <c r="G272" s="224" t="s">
        <v>3882</v>
      </c>
      <c r="H272" s="28" t="s">
        <v>620</v>
      </c>
      <c r="I272" s="6" t="s">
        <v>620</v>
      </c>
      <c r="J272" s="28" t="s">
        <v>620</v>
      </c>
      <c r="K272" s="177" t="n">
        <f aca="false">Workload!E8*0.5</f>
        <v>200</v>
      </c>
      <c r="L272" s="177" t="n">
        <f aca="false">Workload!E8*2</f>
        <v>800</v>
      </c>
      <c r="M272" s="28" t="s">
        <v>4523</v>
      </c>
      <c r="N272" s="225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620</v>
      </c>
      <c r="P272" s="224" t="s">
        <v>3941</v>
      </c>
      <c r="Q272" s="47" t="n">
        <f aca="false">Workload!E8</f>
        <v>400</v>
      </c>
      <c r="R272" s="28" t="s">
        <v>620</v>
      </c>
      <c r="S272" s="42" t="str">
        <f aca="false">IF(ISNUMBER($AF272),INDEX(IDX_SrcStat,$AF272),"—")</f>
        <v>—</v>
      </c>
      <c r="T272" s="42" t="str">
        <f aca="false">IF(ISNUMBER($AF272),INDEX(IDX_SrcGrade,$AF272),"—")</f>
        <v>—</v>
      </c>
      <c r="U272" s="42" t="s">
        <v>3886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2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2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4572</v>
      </c>
      <c r="B273" s="224" t="s">
        <v>3880</v>
      </c>
      <c r="C273" s="28" t="s">
        <v>4540</v>
      </c>
      <c r="D273" s="28" t="s">
        <v>4066</v>
      </c>
      <c r="E273" s="19" t="s">
        <v>4569</v>
      </c>
      <c r="F273" s="28" t="s">
        <v>100</v>
      </c>
      <c r="G273" s="224" t="s">
        <v>3882</v>
      </c>
      <c r="H273" s="28" t="s">
        <v>620</v>
      </c>
      <c r="I273" s="6" t="s">
        <v>620</v>
      </c>
      <c r="J273" s="28" t="s">
        <v>620</v>
      </c>
      <c r="K273" s="177" t="n">
        <f aca="false">Workload!F8*0.5</f>
        <v>200</v>
      </c>
      <c r="L273" s="177" t="n">
        <f aca="false">Workload!F8*2</f>
        <v>800</v>
      </c>
      <c r="M273" s="28" t="s">
        <v>4523</v>
      </c>
      <c r="N273" s="225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620</v>
      </c>
      <c r="P273" s="224" t="s">
        <v>3941</v>
      </c>
      <c r="Q273" s="47" t="n">
        <f aca="false">Workload!F8</f>
        <v>400</v>
      </c>
      <c r="R273" s="28" t="s">
        <v>620</v>
      </c>
      <c r="S273" s="42" t="str">
        <f aca="false">IF(ISNUMBER($AF273),INDEX(IDX_SrcStat,$AF273),"—")</f>
        <v>—</v>
      </c>
      <c r="T273" s="42" t="str">
        <f aca="false">IF(ISNUMBER($AF273),INDEX(IDX_SrcGrade,$AF273),"—")</f>
        <v>—</v>
      </c>
      <c r="U273" s="42" t="s">
        <v>3886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2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2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4573</v>
      </c>
      <c r="B274" s="224" t="s">
        <v>3880</v>
      </c>
      <c r="C274" s="28" t="s">
        <v>4540</v>
      </c>
      <c r="D274" s="28" t="s">
        <v>4069</v>
      </c>
      <c r="E274" s="19" t="s">
        <v>4569</v>
      </c>
      <c r="F274" s="28" t="s">
        <v>100</v>
      </c>
      <c r="G274" s="224" t="s">
        <v>3882</v>
      </c>
      <c r="H274" s="28" t="s">
        <v>620</v>
      </c>
      <c r="I274" s="6" t="s">
        <v>620</v>
      </c>
      <c r="J274" s="28" t="s">
        <v>620</v>
      </c>
      <c r="K274" s="177" t="n">
        <f aca="false">Workload!G8*0.5</f>
        <v>300</v>
      </c>
      <c r="L274" s="177" t="n">
        <f aca="false">Workload!G8*2</f>
        <v>1200</v>
      </c>
      <c r="M274" s="28" t="s">
        <v>4523</v>
      </c>
      <c r="N274" s="225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620</v>
      </c>
      <c r="P274" s="224" t="s">
        <v>1151</v>
      </c>
      <c r="Q274" s="47" t="n">
        <f aca="false">Workload!G8</f>
        <v>600</v>
      </c>
      <c r="R274" s="28" t="s">
        <v>620</v>
      </c>
      <c r="S274" s="42" t="str">
        <f aca="false">IF(ISNUMBER($AF274),INDEX(IDX_SrcStat,$AF274),"—")</f>
        <v>—</v>
      </c>
      <c r="T274" s="42" t="str">
        <f aca="false">IF(ISNUMBER($AF274),INDEX(IDX_SrcGrade,$AF274),"—")</f>
        <v>—</v>
      </c>
      <c r="U274" s="42" t="s">
        <v>3886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2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2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4574</v>
      </c>
      <c r="B275" s="224" t="s">
        <v>3880</v>
      </c>
      <c r="C275" s="28" t="s">
        <v>4540</v>
      </c>
      <c r="D275" s="28" t="s">
        <v>4072</v>
      </c>
      <c r="E275" s="19" t="s">
        <v>4575</v>
      </c>
      <c r="F275" s="28" t="s">
        <v>100</v>
      </c>
      <c r="G275" s="224" t="s">
        <v>3882</v>
      </c>
      <c r="H275" s="28" t="s">
        <v>620</v>
      </c>
      <c r="I275" s="6" t="s">
        <v>620</v>
      </c>
      <c r="J275" s="28" t="s">
        <v>620</v>
      </c>
      <c r="K275" s="177" t="n">
        <f aca="false">Workload!C9*0.5</f>
        <v>250</v>
      </c>
      <c r="L275" s="177" t="n">
        <f aca="false">Workload!C9*2</f>
        <v>1000</v>
      </c>
      <c r="M275" s="28" t="s">
        <v>4523</v>
      </c>
      <c r="N275" s="19" t="s">
        <v>4555</v>
      </c>
      <c r="O275" s="6" t="s">
        <v>620</v>
      </c>
      <c r="P275" s="224" t="s">
        <v>3941</v>
      </c>
      <c r="Q275" s="47" t="n">
        <f aca="false">Workload!C9</f>
        <v>500</v>
      </c>
      <c r="R275" s="28" t="s">
        <v>620</v>
      </c>
      <c r="S275" s="42" t="str">
        <f aca="false">IF(ISNUMBER($AF275),INDEX(IDX_SrcStat,$AF275),"—")</f>
        <v>—</v>
      </c>
      <c r="T275" s="42" t="str">
        <f aca="false">IF(ISNUMBER($AF275),INDEX(IDX_SrcGrade,$AF275),"—")</f>
        <v>—</v>
      </c>
      <c r="U275" s="42" t="s">
        <v>3886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2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2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4576</v>
      </c>
      <c r="B276" s="224" t="s">
        <v>3880</v>
      </c>
      <c r="C276" s="28" t="s">
        <v>4540</v>
      </c>
      <c r="D276" s="28" t="s">
        <v>3895</v>
      </c>
      <c r="E276" s="19" t="s">
        <v>4575</v>
      </c>
      <c r="F276" s="28" t="s">
        <v>100</v>
      </c>
      <c r="G276" s="224" t="s">
        <v>3882</v>
      </c>
      <c r="H276" s="28" t="s">
        <v>620</v>
      </c>
      <c r="I276" s="6" t="s">
        <v>620</v>
      </c>
      <c r="J276" s="28" t="s">
        <v>620</v>
      </c>
      <c r="K276" s="177" t="n">
        <f aca="false">Workload!D9*0.5</f>
        <v>350</v>
      </c>
      <c r="L276" s="177" t="n">
        <f aca="false">Workload!D9*2</f>
        <v>1400</v>
      </c>
      <c r="M276" s="28" t="s">
        <v>4523</v>
      </c>
      <c r="N276" s="19" t="s">
        <v>4555</v>
      </c>
      <c r="O276" s="6" t="s">
        <v>620</v>
      </c>
      <c r="P276" s="224" t="s">
        <v>3941</v>
      </c>
      <c r="Q276" s="47" t="n">
        <f aca="false">Workload!D9</f>
        <v>700</v>
      </c>
      <c r="R276" s="28" t="s">
        <v>620</v>
      </c>
      <c r="S276" s="42" t="str">
        <f aca="false">IF(ISNUMBER($AF276),INDEX(IDX_SrcStat,$AF276),"—")</f>
        <v>—</v>
      </c>
      <c r="T276" s="42" t="str">
        <f aca="false">IF(ISNUMBER($AF276),INDEX(IDX_SrcGrade,$AF276),"—")</f>
        <v>—</v>
      </c>
      <c r="U276" s="42" t="s">
        <v>3886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2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2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4577</v>
      </c>
      <c r="B277" s="224" t="s">
        <v>3880</v>
      </c>
      <c r="C277" s="28" t="s">
        <v>4540</v>
      </c>
      <c r="D277" s="28" t="s">
        <v>3742</v>
      </c>
      <c r="E277" s="19" t="s">
        <v>4575</v>
      </c>
      <c r="F277" s="28" t="s">
        <v>100</v>
      </c>
      <c r="G277" s="224" t="s">
        <v>3882</v>
      </c>
      <c r="H277" s="28" t="s">
        <v>620</v>
      </c>
      <c r="I277" s="6" t="s">
        <v>620</v>
      </c>
      <c r="J277" s="28" t="s">
        <v>620</v>
      </c>
      <c r="K277" s="177" t="n">
        <f aca="false">Workload!E9*0.5</f>
        <v>100</v>
      </c>
      <c r="L277" s="177" t="n">
        <f aca="false">Workload!E9*2</f>
        <v>400</v>
      </c>
      <c r="M277" s="28" t="s">
        <v>4523</v>
      </c>
      <c r="N277" s="19" t="s">
        <v>4555</v>
      </c>
      <c r="O277" s="6" t="s">
        <v>620</v>
      </c>
      <c r="P277" s="224" t="s">
        <v>3941</v>
      </c>
      <c r="Q277" s="47" t="n">
        <f aca="false">Workload!E9</f>
        <v>200</v>
      </c>
      <c r="R277" s="28" t="s">
        <v>620</v>
      </c>
      <c r="S277" s="42" t="str">
        <f aca="false">IF(ISNUMBER($AF277),INDEX(IDX_SrcStat,$AF277),"—")</f>
        <v>—</v>
      </c>
      <c r="T277" s="42" t="str">
        <f aca="false">IF(ISNUMBER($AF277),INDEX(IDX_SrcGrade,$AF277),"—")</f>
        <v>—</v>
      </c>
      <c r="U277" s="42" t="s">
        <v>3886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2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2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4578</v>
      </c>
      <c r="B278" s="224" t="s">
        <v>3880</v>
      </c>
      <c r="C278" s="28" t="s">
        <v>4540</v>
      </c>
      <c r="D278" s="28" t="s">
        <v>3897</v>
      </c>
      <c r="E278" s="19" t="s">
        <v>4575</v>
      </c>
      <c r="F278" s="28" t="s">
        <v>100</v>
      </c>
      <c r="G278" s="224" t="s">
        <v>3882</v>
      </c>
      <c r="H278" s="28" t="s">
        <v>620</v>
      </c>
      <c r="I278" s="6" t="s">
        <v>620</v>
      </c>
      <c r="J278" s="28" t="s">
        <v>620</v>
      </c>
      <c r="K278" s="177" t="n">
        <f aca="false">Workload!F9*0.5</f>
        <v>100</v>
      </c>
      <c r="L278" s="177" t="n">
        <f aca="false">Workload!F9*2</f>
        <v>400</v>
      </c>
      <c r="M278" s="28" t="s">
        <v>4523</v>
      </c>
      <c r="N278" s="19" t="s">
        <v>4555</v>
      </c>
      <c r="O278" s="6" t="s">
        <v>620</v>
      </c>
      <c r="P278" s="224" t="s">
        <v>3941</v>
      </c>
      <c r="Q278" s="47" t="n">
        <f aca="false">Workload!F9</f>
        <v>200</v>
      </c>
      <c r="R278" s="28" t="s">
        <v>620</v>
      </c>
      <c r="S278" s="42" t="str">
        <f aca="false">IF(ISNUMBER($AF278),INDEX(IDX_SrcStat,$AF278),"—")</f>
        <v>—</v>
      </c>
      <c r="T278" s="42" t="str">
        <f aca="false">IF(ISNUMBER($AF278),INDEX(IDX_SrcGrade,$AF278),"—")</f>
        <v>—</v>
      </c>
      <c r="U278" s="42" t="s">
        <v>3886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2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2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4579</v>
      </c>
      <c r="B279" s="224" t="s">
        <v>3880</v>
      </c>
      <c r="C279" s="28" t="s">
        <v>4540</v>
      </c>
      <c r="D279" s="28" t="s">
        <v>4087</v>
      </c>
      <c r="E279" s="19" t="s">
        <v>4575</v>
      </c>
      <c r="F279" s="28" t="s">
        <v>100</v>
      </c>
      <c r="G279" s="224" t="s">
        <v>3882</v>
      </c>
      <c r="H279" s="28" t="s">
        <v>620</v>
      </c>
      <c r="I279" s="6" t="s">
        <v>620</v>
      </c>
      <c r="J279" s="28" t="s">
        <v>620</v>
      </c>
      <c r="K279" s="177" t="n">
        <f aca="false">Workload!G9*0.5</f>
        <v>200</v>
      </c>
      <c r="L279" s="177" t="n">
        <f aca="false">Workload!G9*2</f>
        <v>800</v>
      </c>
      <c r="M279" s="28" t="s">
        <v>4523</v>
      </c>
      <c r="N279" s="19" t="s">
        <v>4580</v>
      </c>
      <c r="O279" s="6" t="s">
        <v>620</v>
      </c>
      <c r="P279" s="224" t="s">
        <v>1151</v>
      </c>
      <c r="Q279" s="47" t="n">
        <f aca="false">Workload!G9</f>
        <v>400</v>
      </c>
      <c r="R279" s="28" t="s">
        <v>620</v>
      </c>
      <c r="S279" s="42" t="str">
        <f aca="false">IF(ISNUMBER($AF279),INDEX(IDX_SrcStat,$AF279),"—")</f>
        <v>—</v>
      </c>
      <c r="T279" s="42" t="str">
        <f aca="false">IF(ISNUMBER($AF279),INDEX(IDX_SrcGrade,$AF279),"—")</f>
        <v>—</v>
      </c>
      <c r="U279" s="42" t="s">
        <v>3886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2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2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4581</v>
      </c>
      <c r="B280" s="224" t="s">
        <v>3880</v>
      </c>
      <c r="C280" s="28" t="s">
        <v>4540</v>
      </c>
      <c r="D280" s="28" t="s">
        <v>4092</v>
      </c>
      <c r="E280" s="19" t="s">
        <v>4582</v>
      </c>
      <c r="F280" s="28" t="s">
        <v>100</v>
      </c>
      <c r="G280" s="224" t="s">
        <v>3882</v>
      </c>
      <c r="H280" s="28" t="s">
        <v>620</v>
      </c>
      <c r="I280" s="6" t="s">
        <v>620</v>
      </c>
      <c r="J280" s="28" t="s">
        <v>620</v>
      </c>
      <c r="K280" s="226" t="n">
        <v>0</v>
      </c>
      <c r="L280" s="226" t="n">
        <v>1</v>
      </c>
      <c r="M280" s="28" t="s">
        <v>4583</v>
      </c>
      <c r="N280" s="225" t="str">
        <f aca="false">Workload!$H$10</f>
        <v>Assumed：多數 API 不保留前輪思考（標準 harness）</v>
      </c>
      <c r="O280" s="6" t="s">
        <v>620</v>
      </c>
      <c r="P280" s="224" t="s">
        <v>3885</v>
      </c>
      <c r="Q280" s="187" t="n">
        <f aca="false">Workload!C10</f>
        <v>0</v>
      </c>
      <c r="R280" s="28" t="s">
        <v>620</v>
      </c>
      <c r="S280" s="42" t="str">
        <f aca="false">IF(ISNUMBER($AF280),INDEX(IDX_SrcStat,$AF280),"—")</f>
        <v>—</v>
      </c>
      <c r="T280" s="42" t="str">
        <f aca="false">IF(ISNUMBER($AF280),INDEX(IDX_SrcGrade,$AF280),"—")</f>
        <v>—</v>
      </c>
      <c r="U280" s="42" t="s">
        <v>3886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2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2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4584</v>
      </c>
      <c r="B281" s="224" t="s">
        <v>3880</v>
      </c>
      <c r="C281" s="28" t="s">
        <v>4540</v>
      </c>
      <c r="D281" s="28" t="s">
        <v>3900</v>
      </c>
      <c r="E281" s="19" t="s">
        <v>4582</v>
      </c>
      <c r="F281" s="28" t="s">
        <v>100</v>
      </c>
      <c r="G281" s="224" t="s">
        <v>3882</v>
      </c>
      <c r="H281" s="28" t="s">
        <v>620</v>
      </c>
      <c r="I281" s="6" t="s">
        <v>620</v>
      </c>
      <c r="J281" s="28" t="s">
        <v>620</v>
      </c>
      <c r="K281" s="226" t="n">
        <v>0</v>
      </c>
      <c r="L281" s="226" t="n">
        <v>1</v>
      </c>
      <c r="M281" s="28" t="s">
        <v>4583</v>
      </c>
      <c r="N281" s="225" t="str">
        <f aca="false">Workload!$H$10</f>
        <v>Assumed：多數 API 不保留前輪思考（標準 harness）</v>
      </c>
      <c r="O281" s="6" t="s">
        <v>620</v>
      </c>
      <c r="P281" s="224" t="s">
        <v>3885</v>
      </c>
      <c r="Q281" s="187" t="n">
        <f aca="false">Workload!D10</f>
        <v>0</v>
      </c>
      <c r="R281" s="28" t="s">
        <v>620</v>
      </c>
      <c r="S281" s="42" t="str">
        <f aca="false">IF(ISNUMBER($AF281),INDEX(IDX_SrcStat,$AF281),"—")</f>
        <v>—</v>
      </c>
      <c r="T281" s="42" t="str">
        <f aca="false">IF(ISNUMBER($AF281),INDEX(IDX_SrcGrade,$AF281),"—")</f>
        <v>—</v>
      </c>
      <c r="U281" s="42" t="s">
        <v>3886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2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2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4585</v>
      </c>
      <c r="B282" s="224" t="s">
        <v>3880</v>
      </c>
      <c r="C282" s="28" t="s">
        <v>4540</v>
      </c>
      <c r="D282" s="28" t="s">
        <v>3745</v>
      </c>
      <c r="E282" s="19" t="s">
        <v>4582</v>
      </c>
      <c r="F282" s="28" t="s">
        <v>100</v>
      </c>
      <c r="G282" s="224" t="s">
        <v>3882</v>
      </c>
      <c r="H282" s="28" t="s">
        <v>620</v>
      </c>
      <c r="I282" s="6" t="s">
        <v>620</v>
      </c>
      <c r="J282" s="28" t="s">
        <v>620</v>
      </c>
      <c r="K282" s="226" t="n">
        <v>0</v>
      </c>
      <c r="L282" s="226" t="n">
        <v>1</v>
      </c>
      <c r="M282" s="28" t="s">
        <v>4583</v>
      </c>
      <c r="N282" s="225" t="str">
        <f aca="false">Workload!$H$10</f>
        <v>Assumed：多數 API 不保留前輪思考（標準 harness）</v>
      </c>
      <c r="O282" s="6" t="s">
        <v>620</v>
      </c>
      <c r="P282" s="224" t="s">
        <v>3885</v>
      </c>
      <c r="Q282" s="187" t="n">
        <f aca="false">Workload!E10</f>
        <v>0</v>
      </c>
      <c r="R282" s="28" t="s">
        <v>620</v>
      </c>
      <c r="S282" s="42" t="str">
        <f aca="false">IF(ISNUMBER($AF282),INDEX(IDX_SrcStat,$AF282),"—")</f>
        <v>—</v>
      </c>
      <c r="T282" s="42" t="str">
        <f aca="false">IF(ISNUMBER($AF282),INDEX(IDX_SrcGrade,$AF282),"—")</f>
        <v>—</v>
      </c>
      <c r="U282" s="42" t="s">
        <v>3886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2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2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4586</v>
      </c>
      <c r="B283" s="224" t="s">
        <v>3880</v>
      </c>
      <c r="C283" s="28" t="s">
        <v>4540</v>
      </c>
      <c r="D283" s="28" t="s">
        <v>3902</v>
      </c>
      <c r="E283" s="19" t="s">
        <v>4582</v>
      </c>
      <c r="F283" s="28" t="s">
        <v>100</v>
      </c>
      <c r="G283" s="224" t="s">
        <v>3882</v>
      </c>
      <c r="H283" s="28" t="s">
        <v>620</v>
      </c>
      <c r="I283" s="6" t="s">
        <v>620</v>
      </c>
      <c r="J283" s="28" t="s">
        <v>620</v>
      </c>
      <c r="K283" s="226" t="n">
        <v>0</v>
      </c>
      <c r="L283" s="226" t="n">
        <v>1</v>
      </c>
      <c r="M283" s="28" t="s">
        <v>4583</v>
      </c>
      <c r="N283" s="225" t="str">
        <f aca="false">Workload!$H$10</f>
        <v>Assumed：多數 API 不保留前輪思考（標準 harness）</v>
      </c>
      <c r="O283" s="6" t="s">
        <v>620</v>
      </c>
      <c r="P283" s="224" t="s">
        <v>3885</v>
      </c>
      <c r="Q283" s="187" t="n">
        <f aca="false">Workload!F10</f>
        <v>0</v>
      </c>
      <c r="R283" s="28" t="s">
        <v>620</v>
      </c>
      <c r="S283" s="42" t="str">
        <f aca="false">IF(ISNUMBER($AF283),INDEX(IDX_SrcStat,$AF283),"—")</f>
        <v>—</v>
      </c>
      <c r="T283" s="42" t="str">
        <f aca="false">IF(ISNUMBER($AF283),INDEX(IDX_SrcGrade,$AF283),"—")</f>
        <v>—</v>
      </c>
      <c r="U283" s="42" t="s">
        <v>3886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2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2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4587</v>
      </c>
      <c r="B284" s="224" t="s">
        <v>3880</v>
      </c>
      <c r="C284" s="28" t="s">
        <v>4540</v>
      </c>
      <c r="D284" s="28" t="s">
        <v>4100</v>
      </c>
      <c r="E284" s="19" t="s">
        <v>4582</v>
      </c>
      <c r="F284" s="28" t="s">
        <v>100</v>
      </c>
      <c r="G284" s="224" t="s">
        <v>3882</v>
      </c>
      <c r="H284" s="28" t="s">
        <v>620</v>
      </c>
      <c r="I284" s="6" t="s">
        <v>620</v>
      </c>
      <c r="J284" s="28" t="s">
        <v>620</v>
      </c>
      <c r="K284" s="226" t="n">
        <v>0</v>
      </c>
      <c r="L284" s="226" t="n">
        <v>1</v>
      </c>
      <c r="M284" s="28" t="s">
        <v>4583</v>
      </c>
      <c r="N284" s="225" t="str">
        <f aca="false">Workload!$H$10</f>
        <v>Assumed：多數 API 不保留前輪思考（標準 harness）</v>
      </c>
      <c r="O284" s="6" t="s">
        <v>620</v>
      </c>
      <c r="P284" s="224" t="s">
        <v>3885</v>
      </c>
      <c r="Q284" s="187" t="n">
        <f aca="false">Workload!G10</f>
        <v>0</v>
      </c>
      <c r="R284" s="28" t="s">
        <v>620</v>
      </c>
      <c r="S284" s="42" t="str">
        <f aca="false">IF(ISNUMBER($AF284),INDEX(IDX_SrcStat,$AF284),"—")</f>
        <v>—</v>
      </c>
      <c r="T284" s="42" t="str">
        <f aca="false">IF(ISNUMBER($AF284),INDEX(IDX_SrcGrade,$AF284),"—")</f>
        <v>—</v>
      </c>
      <c r="U284" s="42" t="s">
        <v>3886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2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2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4588</v>
      </c>
      <c r="B285" s="224" t="s">
        <v>3880</v>
      </c>
      <c r="C285" s="28" t="s">
        <v>4540</v>
      </c>
      <c r="D285" s="28" t="s">
        <v>4103</v>
      </c>
      <c r="E285" s="19" t="s">
        <v>4589</v>
      </c>
      <c r="F285" s="28" t="s">
        <v>100</v>
      </c>
      <c r="G285" s="224" t="s">
        <v>3882</v>
      </c>
      <c r="H285" s="28" t="s">
        <v>620</v>
      </c>
      <c r="I285" s="6" t="s">
        <v>620</v>
      </c>
      <c r="J285" s="28" t="s">
        <v>620</v>
      </c>
      <c r="K285" s="226" t="n">
        <v>0.3</v>
      </c>
      <c r="L285" s="226" t="n">
        <v>0.7</v>
      </c>
      <c r="M285" s="28" t="s">
        <v>4590</v>
      </c>
      <c r="N285" s="225" t="str">
        <f aca="false">Workload!$H$11</f>
        <v>Assumed；代理迴圈前綴重用高</v>
      </c>
      <c r="O285" s="6" t="s">
        <v>620</v>
      </c>
      <c r="P285" s="224" t="s">
        <v>1151</v>
      </c>
      <c r="Q285" s="187" t="n">
        <f aca="false">Workload!C11</f>
        <v>0.5</v>
      </c>
      <c r="R285" s="28" t="s">
        <v>620</v>
      </c>
      <c r="S285" s="42" t="str">
        <f aca="false">IF(ISNUMBER($AF285),INDEX(IDX_SrcStat,$AF285),"—")</f>
        <v>—</v>
      </c>
      <c r="T285" s="42" t="str">
        <f aca="false">IF(ISNUMBER($AF285),INDEX(IDX_SrcGrade,$AF285),"—")</f>
        <v>—</v>
      </c>
      <c r="U285" s="42" t="s">
        <v>3886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2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2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4591</v>
      </c>
      <c r="B286" s="224" t="s">
        <v>3880</v>
      </c>
      <c r="C286" s="28" t="s">
        <v>4540</v>
      </c>
      <c r="D286" s="28" t="s">
        <v>3907</v>
      </c>
      <c r="E286" s="19" t="s">
        <v>4589</v>
      </c>
      <c r="F286" s="28" t="s">
        <v>100</v>
      </c>
      <c r="G286" s="224" t="s">
        <v>3882</v>
      </c>
      <c r="H286" s="28" t="s">
        <v>620</v>
      </c>
      <c r="I286" s="6" t="s">
        <v>620</v>
      </c>
      <c r="J286" s="28" t="s">
        <v>620</v>
      </c>
      <c r="K286" s="226" t="n">
        <v>0.3</v>
      </c>
      <c r="L286" s="226" t="n">
        <v>0.7</v>
      </c>
      <c r="M286" s="28" t="s">
        <v>4590</v>
      </c>
      <c r="N286" s="225" t="str">
        <f aca="false">Workload!$H$11</f>
        <v>Assumed；代理迴圈前綴重用高</v>
      </c>
      <c r="O286" s="6" t="s">
        <v>620</v>
      </c>
      <c r="P286" s="224" t="s">
        <v>1151</v>
      </c>
      <c r="Q286" s="187" t="n">
        <f aca="false">Workload!D11</f>
        <v>0.5</v>
      </c>
      <c r="R286" s="28" t="s">
        <v>620</v>
      </c>
      <c r="S286" s="42" t="str">
        <f aca="false">IF(ISNUMBER($AF286),INDEX(IDX_SrcStat,$AF286),"—")</f>
        <v>—</v>
      </c>
      <c r="T286" s="42" t="str">
        <f aca="false">IF(ISNUMBER($AF286),INDEX(IDX_SrcGrade,$AF286),"—")</f>
        <v>—</v>
      </c>
      <c r="U286" s="42" t="s">
        <v>3886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2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2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4592</v>
      </c>
      <c r="B287" s="224" t="s">
        <v>3880</v>
      </c>
      <c r="C287" s="28" t="s">
        <v>4540</v>
      </c>
      <c r="D287" s="28" t="s">
        <v>3748</v>
      </c>
      <c r="E287" s="19" t="s">
        <v>4589</v>
      </c>
      <c r="F287" s="28" t="s">
        <v>100</v>
      </c>
      <c r="G287" s="224" t="s">
        <v>3882</v>
      </c>
      <c r="H287" s="28" t="s">
        <v>620</v>
      </c>
      <c r="I287" s="6" t="s">
        <v>620</v>
      </c>
      <c r="J287" s="28" t="s">
        <v>620</v>
      </c>
      <c r="K287" s="226" t="n">
        <v>0.7</v>
      </c>
      <c r="L287" s="226" t="n">
        <v>0.95</v>
      </c>
      <c r="M287" s="28" t="s">
        <v>4593</v>
      </c>
      <c r="N287" s="225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620</v>
      </c>
      <c r="P287" s="224" t="s">
        <v>1151</v>
      </c>
      <c r="Q287" s="187" t="n">
        <f aca="false">Workload!E11</f>
        <v>0.9</v>
      </c>
      <c r="R287" s="28" t="s">
        <v>620</v>
      </c>
      <c r="S287" s="42" t="str">
        <f aca="false">IF(ISNUMBER($AF287),INDEX(IDX_SrcStat,$AF287),"—")</f>
        <v>—</v>
      </c>
      <c r="T287" s="42" t="str">
        <f aca="false">IF(ISNUMBER($AF287),INDEX(IDX_SrcGrade,$AF287),"—")</f>
        <v>—</v>
      </c>
      <c r="U287" s="42" t="s">
        <v>3886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2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2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4594</v>
      </c>
      <c r="B288" s="224" t="s">
        <v>3880</v>
      </c>
      <c r="C288" s="28" t="s">
        <v>4540</v>
      </c>
      <c r="D288" s="28" t="s">
        <v>3909</v>
      </c>
      <c r="E288" s="19" t="s">
        <v>4589</v>
      </c>
      <c r="F288" s="28" t="s">
        <v>100</v>
      </c>
      <c r="G288" s="224" t="s">
        <v>3882</v>
      </c>
      <c r="H288" s="28" t="s">
        <v>620</v>
      </c>
      <c r="I288" s="6" t="s">
        <v>620</v>
      </c>
      <c r="J288" s="28" t="s">
        <v>620</v>
      </c>
      <c r="K288" s="226" t="n">
        <v>0.7</v>
      </c>
      <c r="L288" s="226" t="n">
        <v>0.95</v>
      </c>
      <c r="M288" s="28" t="s">
        <v>4593</v>
      </c>
      <c r="N288" s="225" t="str">
        <f aca="false">Workload!$H$11</f>
        <v>Assumed；代理迴圈前綴重用高</v>
      </c>
      <c r="O288" s="6" t="s">
        <v>620</v>
      </c>
      <c r="P288" s="224" t="s">
        <v>1151</v>
      </c>
      <c r="Q288" s="187" t="n">
        <f aca="false">Workload!F11</f>
        <v>0.9</v>
      </c>
      <c r="R288" s="28" t="s">
        <v>620</v>
      </c>
      <c r="S288" s="42" t="str">
        <f aca="false">IF(ISNUMBER($AF288),INDEX(IDX_SrcStat,$AF288),"—")</f>
        <v>—</v>
      </c>
      <c r="T288" s="42" t="str">
        <f aca="false">IF(ISNUMBER($AF288),INDEX(IDX_SrcGrade,$AF288),"—")</f>
        <v>—</v>
      </c>
      <c r="U288" s="42" t="s">
        <v>3886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2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2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4595</v>
      </c>
      <c r="B289" s="224" t="s">
        <v>3880</v>
      </c>
      <c r="C289" s="28" t="s">
        <v>4540</v>
      </c>
      <c r="D289" s="28" t="s">
        <v>4120</v>
      </c>
      <c r="E289" s="19" t="s">
        <v>4589</v>
      </c>
      <c r="F289" s="28" t="s">
        <v>100</v>
      </c>
      <c r="G289" s="224" t="s">
        <v>3882</v>
      </c>
      <c r="H289" s="28" t="s">
        <v>620</v>
      </c>
      <c r="I289" s="6" t="s">
        <v>620</v>
      </c>
      <c r="J289" s="28" t="s">
        <v>620</v>
      </c>
      <c r="K289" s="226" t="n">
        <v>0.7</v>
      </c>
      <c r="L289" s="226" t="n">
        <v>0.95</v>
      </c>
      <c r="M289" s="28" t="s">
        <v>4593</v>
      </c>
      <c r="N289" s="225" t="str">
        <f aca="false">Workload!$H$11</f>
        <v>Assumed；代理迴圈前綴重用高</v>
      </c>
      <c r="O289" s="6" t="s">
        <v>620</v>
      </c>
      <c r="P289" s="224" t="s">
        <v>1151</v>
      </c>
      <c r="Q289" s="187" t="n">
        <f aca="false">Workload!G11</f>
        <v>0.9</v>
      </c>
      <c r="R289" s="28" t="s">
        <v>620</v>
      </c>
      <c r="S289" s="42" t="str">
        <f aca="false">IF(ISNUMBER($AF289),INDEX(IDX_SrcStat,$AF289),"—")</f>
        <v>—</v>
      </c>
      <c r="T289" s="42" t="str">
        <f aca="false">IF(ISNUMBER($AF289),INDEX(IDX_SrcGrade,$AF289),"—")</f>
        <v>—</v>
      </c>
      <c r="U289" s="42" t="s">
        <v>3886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2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2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4596</v>
      </c>
      <c r="B290" s="224" t="s">
        <v>3880</v>
      </c>
      <c r="C290" s="28" t="s">
        <v>4540</v>
      </c>
      <c r="D290" s="28" t="s">
        <v>4124</v>
      </c>
      <c r="E290" s="19" t="s">
        <v>4597</v>
      </c>
      <c r="F290" s="28" t="s">
        <v>100</v>
      </c>
      <c r="G290" s="224" t="s">
        <v>3882</v>
      </c>
      <c r="H290" s="28" t="s">
        <v>620</v>
      </c>
      <c r="I290" s="6" t="s">
        <v>620</v>
      </c>
      <c r="J290" s="28" t="s">
        <v>620</v>
      </c>
      <c r="K290" s="226" t="n">
        <v>0</v>
      </c>
      <c r="L290" s="177" t="n">
        <f aca="false">MAX(1,Workload!C12*2)</f>
        <v>1</v>
      </c>
      <c r="M290" s="28" t="s">
        <v>4598</v>
      </c>
      <c r="N290" s="225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620</v>
      </c>
      <c r="P290" s="224" t="s">
        <v>3885</v>
      </c>
      <c r="Q290" s="31" t="n">
        <f aca="false">Workload!C12</f>
        <v>0</v>
      </c>
      <c r="R290" s="28" t="s">
        <v>620</v>
      </c>
      <c r="S290" s="42" t="str">
        <f aca="false">IF(ISNUMBER($AF290),INDEX(IDX_SrcStat,$AF290),"—")</f>
        <v>—</v>
      </c>
      <c r="T290" s="42" t="str">
        <f aca="false">IF(ISNUMBER($AF290),INDEX(IDX_SrcGrade,$AF290),"—")</f>
        <v>—</v>
      </c>
      <c r="U290" s="42" t="s">
        <v>3886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2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2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4599</v>
      </c>
      <c r="B291" s="224" t="s">
        <v>3880</v>
      </c>
      <c r="C291" s="28" t="s">
        <v>4540</v>
      </c>
      <c r="D291" s="28" t="s">
        <v>4128</v>
      </c>
      <c r="E291" s="19" t="s">
        <v>4597</v>
      </c>
      <c r="F291" s="28" t="s">
        <v>100</v>
      </c>
      <c r="G291" s="224" t="s">
        <v>3882</v>
      </c>
      <c r="H291" s="28" t="s">
        <v>620</v>
      </c>
      <c r="I291" s="6" t="s">
        <v>620</v>
      </c>
      <c r="J291" s="28" t="s">
        <v>620</v>
      </c>
      <c r="K291" s="226" t="n">
        <v>0</v>
      </c>
      <c r="L291" s="177" t="n">
        <f aca="false">MAX(1,Workload!D12*2)</f>
        <v>1</v>
      </c>
      <c r="M291" s="28" t="s">
        <v>4598</v>
      </c>
      <c r="N291" s="225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620</v>
      </c>
      <c r="P291" s="224" t="s">
        <v>3885</v>
      </c>
      <c r="Q291" s="31" t="n">
        <f aca="false">Workload!D12</f>
        <v>0</v>
      </c>
      <c r="R291" s="28" t="s">
        <v>620</v>
      </c>
      <c r="S291" s="42" t="str">
        <f aca="false">IF(ISNUMBER($AF291),INDEX(IDX_SrcStat,$AF291),"—")</f>
        <v>—</v>
      </c>
      <c r="T291" s="42" t="str">
        <f aca="false">IF(ISNUMBER($AF291),INDEX(IDX_SrcGrade,$AF291),"—")</f>
        <v>—</v>
      </c>
      <c r="U291" s="42" t="s">
        <v>3886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2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2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4600</v>
      </c>
      <c r="B292" s="224" t="s">
        <v>3880</v>
      </c>
      <c r="C292" s="28" t="s">
        <v>4540</v>
      </c>
      <c r="D292" s="28" t="s">
        <v>3751</v>
      </c>
      <c r="E292" s="19" t="s">
        <v>4597</v>
      </c>
      <c r="F292" s="28" t="s">
        <v>100</v>
      </c>
      <c r="G292" s="224" t="s">
        <v>3882</v>
      </c>
      <c r="H292" s="28" t="s">
        <v>620</v>
      </c>
      <c r="I292" s="6" t="s">
        <v>620</v>
      </c>
      <c r="J292" s="28" t="s">
        <v>620</v>
      </c>
      <c r="K292" s="226" t="n">
        <v>0</v>
      </c>
      <c r="L292" s="177" t="n">
        <f aca="false">MAX(1,Workload!E12*2)</f>
        <v>1</v>
      </c>
      <c r="M292" s="28" t="s">
        <v>4598</v>
      </c>
      <c r="N292" s="225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620</v>
      </c>
      <c r="P292" s="224" t="s">
        <v>3885</v>
      </c>
      <c r="Q292" s="31" t="n">
        <f aca="false">Workload!E12</f>
        <v>0</v>
      </c>
      <c r="R292" s="28" t="s">
        <v>620</v>
      </c>
      <c r="S292" s="42" t="str">
        <f aca="false">IF(ISNUMBER($AF292),INDEX(IDX_SrcStat,$AF292),"—")</f>
        <v>—</v>
      </c>
      <c r="T292" s="42" t="str">
        <f aca="false">IF(ISNUMBER($AF292),INDEX(IDX_SrcGrade,$AF292),"—")</f>
        <v>—</v>
      </c>
      <c r="U292" s="42" t="s">
        <v>3886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2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2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4601</v>
      </c>
      <c r="B293" s="224" t="s">
        <v>3880</v>
      </c>
      <c r="C293" s="28" t="s">
        <v>4540</v>
      </c>
      <c r="D293" s="28" t="s">
        <v>4136</v>
      </c>
      <c r="E293" s="19" t="s">
        <v>4597</v>
      </c>
      <c r="F293" s="28" t="s">
        <v>100</v>
      </c>
      <c r="G293" s="224" t="s">
        <v>3882</v>
      </c>
      <c r="H293" s="28" t="s">
        <v>620</v>
      </c>
      <c r="I293" s="6" t="s">
        <v>620</v>
      </c>
      <c r="J293" s="28" t="s">
        <v>620</v>
      </c>
      <c r="K293" s="226" t="n">
        <v>0</v>
      </c>
      <c r="L293" s="177" t="n">
        <f aca="false">MAX(1,Workload!F12*2)</f>
        <v>6</v>
      </c>
      <c r="M293" s="28" t="s">
        <v>4598</v>
      </c>
      <c r="N293" s="225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620</v>
      </c>
      <c r="P293" s="224" t="s">
        <v>3885</v>
      </c>
      <c r="Q293" s="31" t="n">
        <f aca="false">Workload!F12</f>
        <v>3</v>
      </c>
      <c r="R293" s="28" t="s">
        <v>620</v>
      </c>
      <c r="S293" s="42" t="str">
        <f aca="false">IF(ISNUMBER($AF293),INDEX(IDX_SrcStat,$AF293),"—")</f>
        <v>—</v>
      </c>
      <c r="T293" s="42" t="str">
        <f aca="false">IF(ISNUMBER($AF293),INDEX(IDX_SrcGrade,$AF293),"—")</f>
        <v>—</v>
      </c>
      <c r="U293" s="42" t="s">
        <v>3886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2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2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4602</v>
      </c>
      <c r="B294" s="224" t="s">
        <v>3880</v>
      </c>
      <c r="C294" s="28" t="s">
        <v>4540</v>
      </c>
      <c r="D294" s="28" t="s">
        <v>4141</v>
      </c>
      <c r="E294" s="19" t="s">
        <v>4597</v>
      </c>
      <c r="F294" s="28" t="s">
        <v>100</v>
      </c>
      <c r="G294" s="224" t="s">
        <v>3882</v>
      </c>
      <c r="H294" s="28" t="s">
        <v>620</v>
      </c>
      <c r="I294" s="6" t="s">
        <v>620</v>
      </c>
      <c r="J294" s="28" t="s">
        <v>620</v>
      </c>
      <c r="K294" s="226" t="n">
        <v>0</v>
      </c>
      <c r="L294" s="177" t="n">
        <f aca="false">MAX(1,Workload!G12*2)</f>
        <v>1</v>
      </c>
      <c r="M294" s="28" t="s">
        <v>4598</v>
      </c>
      <c r="N294" s="225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620</v>
      </c>
      <c r="P294" s="224" t="s">
        <v>1151</v>
      </c>
      <c r="Q294" s="31" t="n">
        <f aca="false">Workload!G12</f>
        <v>0</v>
      </c>
      <c r="R294" s="28" t="s">
        <v>620</v>
      </c>
      <c r="S294" s="42" t="str">
        <f aca="false">IF(ISNUMBER($AF294),INDEX(IDX_SrcStat,$AF294),"—")</f>
        <v>—</v>
      </c>
      <c r="T294" s="42" t="str">
        <f aca="false">IF(ISNUMBER($AF294),INDEX(IDX_SrcGrade,$AF294),"—")</f>
        <v>—</v>
      </c>
      <c r="U294" s="42" t="s">
        <v>3886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2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2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4603</v>
      </c>
      <c r="B295" s="224" t="s">
        <v>3880</v>
      </c>
      <c r="C295" s="28" t="s">
        <v>4540</v>
      </c>
      <c r="D295" s="28" t="s">
        <v>4144</v>
      </c>
      <c r="E295" s="6" t="s">
        <v>404</v>
      </c>
      <c r="F295" s="28" t="s">
        <v>92</v>
      </c>
      <c r="G295" s="224" t="s">
        <v>3882</v>
      </c>
      <c r="H295" s="28" t="s">
        <v>620</v>
      </c>
      <c r="I295" s="6" t="s">
        <v>620</v>
      </c>
      <c r="J295" s="28" t="s">
        <v>4604</v>
      </c>
      <c r="K295" s="224"/>
      <c r="L295" s="224"/>
      <c r="M295" s="28" t="s">
        <v>620</v>
      </c>
      <c r="N295" s="6" t="s">
        <v>4605</v>
      </c>
      <c r="O295" s="6" t="s">
        <v>620</v>
      </c>
      <c r="P295" s="224" t="s">
        <v>1151</v>
      </c>
      <c r="Q295" s="185" t="n">
        <f aca="false">Workload!C13</f>
        <v>1</v>
      </c>
      <c r="R295" s="28" t="s">
        <v>620</v>
      </c>
      <c r="S295" s="42" t="str">
        <f aca="false">IF(ISNUMBER($AF295),INDEX(IDX_SrcStat,$AF295),"—")</f>
        <v>—</v>
      </c>
      <c r="T295" s="42" t="str">
        <f aca="false">IF(ISNUMBER($AF295),INDEX(IDX_SrcGrade,$AF295),"—")</f>
        <v>—</v>
      </c>
      <c r="U295" s="42" t="s">
        <v>3886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2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2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4606</v>
      </c>
      <c r="B296" s="224" t="s">
        <v>3880</v>
      </c>
      <c r="C296" s="28" t="s">
        <v>4540</v>
      </c>
      <c r="D296" s="28" t="s">
        <v>4393</v>
      </c>
      <c r="E296" s="19" t="s">
        <v>4607</v>
      </c>
      <c r="F296" s="28" t="s">
        <v>92</v>
      </c>
      <c r="G296" s="224" t="s">
        <v>3882</v>
      </c>
      <c r="H296" s="28" t="s">
        <v>620</v>
      </c>
      <c r="I296" s="6" t="s">
        <v>620</v>
      </c>
      <c r="J296" s="28" t="s">
        <v>4608</v>
      </c>
      <c r="K296" s="224"/>
      <c r="L296" s="224"/>
      <c r="M296" s="28" t="s">
        <v>620</v>
      </c>
      <c r="N296" s="19" t="s">
        <v>4609</v>
      </c>
      <c r="O296" s="6" t="s">
        <v>620</v>
      </c>
      <c r="P296" s="224" t="s">
        <v>3941</v>
      </c>
      <c r="Q296" s="185" t="n">
        <f aca="false">Workload!C14</f>
        <v>1</v>
      </c>
      <c r="R296" s="28" t="s">
        <v>620</v>
      </c>
      <c r="S296" s="42" t="str">
        <f aca="false">IF(ISNUMBER($AF296),INDEX(IDX_SrcStat,$AF296),"—")</f>
        <v>—</v>
      </c>
      <c r="T296" s="42" t="str">
        <f aca="false">IF(ISNUMBER($AF296),INDEX(IDX_SrcGrade,$AF296),"—")</f>
        <v>—</v>
      </c>
      <c r="U296" s="42" t="s">
        <v>3886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2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2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4610</v>
      </c>
      <c r="B297" s="224" t="s">
        <v>3880</v>
      </c>
      <c r="C297" s="28" t="s">
        <v>4540</v>
      </c>
      <c r="D297" s="28" t="s">
        <v>3913</v>
      </c>
      <c r="E297" s="6" t="s">
        <v>404</v>
      </c>
      <c r="F297" s="28" t="s">
        <v>92</v>
      </c>
      <c r="G297" s="224" t="s">
        <v>3882</v>
      </c>
      <c r="H297" s="28" t="s">
        <v>620</v>
      </c>
      <c r="I297" s="6" t="s">
        <v>620</v>
      </c>
      <c r="J297" s="28" t="s">
        <v>4604</v>
      </c>
      <c r="K297" s="224"/>
      <c r="L297" s="224"/>
      <c r="M297" s="28" t="s">
        <v>620</v>
      </c>
      <c r="N297" s="6" t="s">
        <v>4605</v>
      </c>
      <c r="O297" s="6" t="s">
        <v>620</v>
      </c>
      <c r="P297" s="224" t="s">
        <v>1151</v>
      </c>
      <c r="Q297" s="185" t="n">
        <f aca="false">Workload!D13</f>
        <v>1</v>
      </c>
      <c r="R297" s="28" t="s">
        <v>620</v>
      </c>
      <c r="S297" s="42" t="str">
        <f aca="false">IF(ISNUMBER($AF297),INDEX(IDX_SrcStat,$AF297),"—")</f>
        <v>—</v>
      </c>
      <c r="T297" s="42" t="str">
        <f aca="false">IF(ISNUMBER($AF297),INDEX(IDX_SrcGrade,$AF297),"—")</f>
        <v>—</v>
      </c>
      <c r="U297" s="42" t="s">
        <v>3886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2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2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4611</v>
      </c>
      <c r="B298" s="224" t="s">
        <v>3880</v>
      </c>
      <c r="C298" s="28" t="s">
        <v>4540</v>
      </c>
      <c r="D298" s="28" t="s">
        <v>3923</v>
      </c>
      <c r="E298" s="19" t="s">
        <v>4607</v>
      </c>
      <c r="F298" s="28" t="s">
        <v>92</v>
      </c>
      <c r="G298" s="224" t="s">
        <v>3882</v>
      </c>
      <c r="H298" s="28" t="s">
        <v>620</v>
      </c>
      <c r="I298" s="6" t="s">
        <v>620</v>
      </c>
      <c r="J298" s="28" t="s">
        <v>4608</v>
      </c>
      <c r="K298" s="224"/>
      <c r="L298" s="224"/>
      <c r="M298" s="28" t="s">
        <v>620</v>
      </c>
      <c r="N298" s="19" t="s">
        <v>4609</v>
      </c>
      <c r="O298" s="6" t="s">
        <v>620</v>
      </c>
      <c r="P298" s="224" t="s">
        <v>3941</v>
      </c>
      <c r="Q298" s="185" t="n">
        <f aca="false">Workload!D14</f>
        <v>1</v>
      </c>
      <c r="R298" s="28" t="s">
        <v>620</v>
      </c>
      <c r="S298" s="42" t="str">
        <f aca="false">IF(ISNUMBER($AF298),INDEX(IDX_SrcStat,$AF298),"—")</f>
        <v>—</v>
      </c>
      <c r="T298" s="42" t="str">
        <f aca="false">IF(ISNUMBER($AF298),INDEX(IDX_SrcGrade,$AF298),"—")</f>
        <v>—</v>
      </c>
      <c r="U298" s="42" t="s">
        <v>3886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2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2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4612</v>
      </c>
      <c r="B299" s="224" t="s">
        <v>3880</v>
      </c>
      <c r="C299" s="28" t="s">
        <v>4540</v>
      </c>
      <c r="D299" s="28" t="s">
        <v>3753</v>
      </c>
      <c r="E299" s="6" t="s">
        <v>404</v>
      </c>
      <c r="F299" s="28" t="s">
        <v>92</v>
      </c>
      <c r="G299" s="224" t="s">
        <v>3882</v>
      </c>
      <c r="H299" s="28" t="s">
        <v>620</v>
      </c>
      <c r="I299" s="6" t="s">
        <v>620</v>
      </c>
      <c r="J299" s="28" t="s">
        <v>4604</v>
      </c>
      <c r="K299" s="224"/>
      <c r="L299" s="224"/>
      <c r="M299" s="28" t="s">
        <v>620</v>
      </c>
      <c r="N299" s="6" t="s">
        <v>4605</v>
      </c>
      <c r="O299" s="6" t="s">
        <v>620</v>
      </c>
      <c r="P299" s="224" t="s">
        <v>1151</v>
      </c>
      <c r="Q299" s="185" t="n">
        <f aca="false">Workload!E13</f>
        <v>1</v>
      </c>
      <c r="R299" s="28" t="s">
        <v>620</v>
      </c>
      <c r="S299" s="42" t="str">
        <f aca="false">IF(ISNUMBER($AF299),INDEX(IDX_SrcStat,$AF299),"—")</f>
        <v>—</v>
      </c>
      <c r="T299" s="42" t="str">
        <f aca="false">IF(ISNUMBER($AF299),INDEX(IDX_SrcGrade,$AF299),"—")</f>
        <v>—</v>
      </c>
      <c r="U299" s="42" t="s">
        <v>3886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2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2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4613</v>
      </c>
      <c r="B300" s="224" t="s">
        <v>3880</v>
      </c>
      <c r="C300" s="28" t="s">
        <v>4540</v>
      </c>
      <c r="D300" s="28" t="s">
        <v>3921</v>
      </c>
      <c r="E300" s="19" t="s">
        <v>4607</v>
      </c>
      <c r="F300" s="28" t="s">
        <v>92</v>
      </c>
      <c r="G300" s="224" t="s">
        <v>3882</v>
      </c>
      <c r="H300" s="28" t="s">
        <v>620</v>
      </c>
      <c r="I300" s="6" t="s">
        <v>620</v>
      </c>
      <c r="J300" s="28" t="s">
        <v>4608</v>
      </c>
      <c r="K300" s="224"/>
      <c r="L300" s="224"/>
      <c r="M300" s="28" t="s">
        <v>620</v>
      </c>
      <c r="N300" s="19" t="s">
        <v>4609</v>
      </c>
      <c r="O300" s="6" t="s">
        <v>620</v>
      </c>
      <c r="P300" s="224" t="s">
        <v>3941</v>
      </c>
      <c r="Q300" s="185" t="n">
        <f aca="false">Workload!E14</f>
        <v>1</v>
      </c>
      <c r="R300" s="28" t="s">
        <v>620</v>
      </c>
      <c r="S300" s="42" t="str">
        <f aca="false">IF(ISNUMBER($AF300),INDEX(IDX_SrcStat,$AF300),"—")</f>
        <v>—</v>
      </c>
      <c r="T300" s="42" t="str">
        <f aca="false">IF(ISNUMBER($AF300),INDEX(IDX_SrcGrade,$AF300),"—")</f>
        <v>—</v>
      </c>
      <c r="U300" s="42" t="s">
        <v>3886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2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2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4614</v>
      </c>
      <c r="B301" s="224" t="s">
        <v>3880</v>
      </c>
      <c r="C301" s="28" t="s">
        <v>4540</v>
      </c>
      <c r="D301" s="28" t="s">
        <v>3915</v>
      </c>
      <c r="E301" s="6" t="s">
        <v>404</v>
      </c>
      <c r="F301" s="28" t="s">
        <v>92</v>
      </c>
      <c r="G301" s="224" t="s">
        <v>3882</v>
      </c>
      <c r="H301" s="28" t="s">
        <v>620</v>
      </c>
      <c r="I301" s="6" t="s">
        <v>620</v>
      </c>
      <c r="J301" s="28" t="s">
        <v>4604</v>
      </c>
      <c r="K301" s="224"/>
      <c r="L301" s="224"/>
      <c r="M301" s="28" t="s">
        <v>620</v>
      </c>
      <c r="N301" s="6" t="s">
        <v>4605</v>
      </c>
      <c r="O301" s="6" t="s">
        <v>620</v>
      </c>
      <c r="P301" s="224" t="s">
        <v>1151</v>
      </c>
      <c r="Q301" s="185" t="n">
        <f aca="false">Workload!F13</f>
        <v>1</v>
      </c>
      <c r="R301" s="28" t="s">
        <v>620</v>
      </c>
      <c r="S301" s="42" t="str">
        <f aca="false">IF(ISNUMBER($AF301),INDEX(IDX_SrcStat,$AF301),"—")</f>
        <v>—</v>
      </c>
      <c r="T301" s="42" t="str">
        <f aca="false">IF(ISNUMBER($AF301),INDEX(IDX_SrcGrade,$AF301),"—")</f>
        <v>—</v>
      </c>
      <c r="U301" s="42" t="s">
        <v>3886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2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2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4615</v>
      </c>
      <c r="B302" s="224" t="s">
        <v>3880</v>
      </c>
      <c r="C302" s="28" t="s">
        <v>4540</v>
      </c>
      <c r="D302" s="28" t="s">
        <v>3925</v>
      </c>
      <c r="E302" s="19" t="s">
        <v>4607</v>
      </c>
      <c r="F302" s="28" t="s">
        <v>92</v>
      </c>
      <c r="G302" s="224" t="s">
        <v>3882</v>
      </c>
      <c r="H302" s="28" t="s">
        <v>620</v>
      </c>
      <c r="I302" s="6" t="s">
        <v>620</v>
      </c>
      <c r="J302" s="28" t="s">
        <v>4608</v>
      </c>
      <c r="K302" s="224"/>
      <c r="L302" s="224"/>
      <c r="M302" s="28" t="s">
        <v>620</v>
      </c>
      <c r="N302" s="19" t="s">
        <v>4609</v>
      </c>
      <c r="O302" s="6" t="s">
        <v>620</v>
      </c>
      <c r="P302" s="224" t="s">
        <v>3941</v>
      </c>
      <c r="Q302" s="185" t="n">
        <f aca="false">Workload!F14</f>
        <v>1</v>
      </c>
      <c r="R302" s="28" t="s">
        <v>620</v>
      </c>
      <c r="S302" s="42" t="str">
        <f aca="false">IF(ISNUMBER($AF302),INDEX(IDX_SrcStat,$AF302),"—")</f>
        <v>—</v>
      </c>
      <c r="T302" s="42" t="str">
        <f aca="false">IF(ISNUMBER($AF302),INDEX(IDX_SrcGrade,$AF302),"—")</f>
        <v>—</v>
      </c>
      <c r="U302" s="42" t="s">
        <v>3886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2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2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4616</v>
      </c>
      <c r="B303" s="224" t="s">
        <v>3880</v>
      </c>
      <c r="C303" s="28" t="s">
        <v>4540</v>
      </c>
      <c r="D303" s="28" t="s">
        <v>4156</v>
      </c>
      <c r="E303" s="6" t="s">
        <v>404</v>
      </c>
      <c r="F303" s="28" t="s">
        <v>92</v>
      </c>
      <c r="G303" s="224" t="s">
        <v>3882</v>
      </c>
      <c r="H303" s="28" t="s">
        <v>620</v>
      </c>
      <c r="I303" s="6" t="s">
        <v>620</v>
      </c>
      <c r="J303" s="28" t="s">
        <v>4604</v>
      </c>
      <c r="K303" s="224"/>
      <c r="L303" s="224"/>
      <c r="M303" s="28" t="s">
        <v>620</v>
      </c>
      <c r="N303" s="6" t="s">
        <v>4605</v>
      </c>
      <c r="O303" s="6" t="s">
        <v>620</v>
      </c>
      <c r="P303" s="224" t="s">
        <v>1151</v>
      </c>
      <c r="Q303" s="185" t="n">
        <f aca="false">Workload!G13</f>
        <v>1</v>
      </c>
      <c r="R303" s="28" t="s">
        <v>620</v>
      </c>
      <c r="S303" s="42" t="str">
        <f aca="false">IF(ISNUMBER($AF303),INDEX(IDX_SrcStat,$AF303),"—")</f>
        <v>—</v>
      </c>
      <c r="T303" s="42" t="str">
        <f aca="false">IF(ISNUMBER($AF303),INDEX(IDX_SrcGrade,$AF303),"—")</f>
        <v>—</v>
      </c>
      <c r="U303" s="42" t="s">
        <v>3886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2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2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4617</v>
      </c>
      <c r="B304" s="224" t="s">
        <v>3880</v>
      </c>
      <c r="C304" s="28" t="s">
        <v>4540</v>
      </c>
      <c r="D304" s="28" t="s">
        <v>4618</v>
      </c>
      <c r="E304" s="19" t="s">
        <v>4607</v>
      </c>
      <c r="F304" s="28" t="s">
        <v>92</v>
      </c>
      <c r="G304" s="224" t="s">
        <v>3882</v>
      </c>
      <c r="H304" s="28" t="s">
        <v>620</v>
      </c>
      <c r="I304" s="6" t="s">
        <v>620</v>
      </c>
      <c r="J304" s="28" t="s">
        <v>4608</v>
      </c>
      <c r="K304" s="224"/>
      <c r="L304" s="224"/>
      <c r="M304" s="28" t="s">
        <v>620</v>
      </c>
      <c r="N304" s="19" t="s">
        <v>4609</v>
      </c>
      <c r="O304" s="6" t="s">
        <v>620</v>
      </c>
      <c r="P304" s="224" t="s">
        <v>3941</v>
      </c>
      <c r="Q304" s="185" t="n">
        <f aca="false">Workload!G14</f>
        <v>1</v>
      </c>
      <c r="R304" s="28" t="s">
        <v>620</v>
      </c>
      <c r="S304" s="42" t="str">
        <f aca="false">IF(ISNUMBER($AF304),INDEX(IDX_SrcStat,$AF304),"—")</f>
        <v>—</v>
      </c>
      <c r="T304" s="42" t="str">
        <f aca="false">IF(ISNUMBER($AF304),INDEX(IDX_SrcGrade,$AF304),"—")</f>
        <v>—</v>
      </c>
      <c r="U304" s="42" t="s">
        <v>3886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2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2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4619</v>
      </c>
      <c r="B305" s="224" t="s">
        <v>4620</v>
      </c>
      <c r="C305" s="28" t="s">
        <v>4540</v>
      </c>
      <c r="D305" s="28" t="s">
        <v>4338</v>
      </c>
      <c r="E305" s="19" t="s">
        <v>4621</v>
      </c>
      <c r="F305" s="198" t="s">
        <v>100</v>
      </c>
      <c r="G305" s="224" t="s">
        <v>3882</v>
      </c>
      <c r="H305" s="28" t="s">
        <v>620</v>
      </c>
      <c r="I305" s="228" t="s">
        <v>620</v>
      </c>
      <c r="J305" s="28" t="s">
        <v>620</v>
      </c>
      <c r="K305" s="224"/>
      <c r="L305" s="224"/>
      <c r="M305" s="224" t="s">
        <v>3778</v>
      </c>
      <c r="N305" s="19" t="s">
        <v>4622</v>
      </c>
      <c r="O305" s="6" t="s">
        <v>620</v>
      </c>
      <c r="P305" s="224" t="s">
        <v>3885</v>
      </c>
      <c r="Q305" s="31" t="n">
        <f aca="false">Workload!C40</f>
        <v>1</v>
      </c>
      <c r="R305" s="28" t="s">
        <v>620</v>
      </c>
      <c r="S305" s="42" t="str">
        <f aca="false">IF(ISNUMBER($AF305),INDEX(IDX_SrcStat,$AF305),"—")</f>
        <v>—</v>
      </c>
      <c r="T305" s="42" t="str">
        <f aca="false">IF(ISNUMBER($AF305),INDEX(IDX_SrcGrade,$AF305),"—")</f>
        <v>—</v>
      </c>
      <c r="U305" s="42" t="s">
        <v>3886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2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2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4623</v>
      </c>
      <c r="B306" s="224" t="s">
        <v>4620</v>
      </c>
      <c r="C306" s="28" t="s">
        <v>4540</v>
      </c>
      <c r="D306" s="28" t="s">
        <v>4343</v>
      </c>
      <c r="E306" s="19" t="s">
        <v>4621</v>
      </c>
      <c r="F306" s="224" t="s">
        <v>332</v>
      </c>
      <c r="G306" s="224" t="s">
        <v>3882</v>
      </c>
      <c r="H306" s="28" t="s">
        <v>4624</v>
      </c>
      <c r="I306" s="19" t="s">
        <v>3917</v>
      </c>
      <c r="J306" s="28" t="s">
        <v>620</v>
      </c>
      <c r="K306" s="224"/>
      <c r="L306" s="224"/>
      <c r="M306" s="28" t="s">
        <v>620</v>
      </c>
      <c r="N306" s="19" t="s">
        <v>4625</v>
      </c>
      <c r="O306" s="6" t="s">
        <v>620</v>
      </c>
      <c r="P306" s="224" t="s">
        <v>3885</v>
      </c>
      <c r="Q306" s="31" t="n">
        <f aca="false">Workload!E40</f>
        <v>4</v>
      </c>
      <c r="R306" s="177" t="n">
        <f aca="false">SRC_HAR_001</f>
        <v>4</v>
      </c>
      <c r="S306" s="42" t="str">
        <f aca="false">IF(ISNUMBER($AF306),INDEX(IDX_SrcStat,$AF306),"—")</f>
        <v>Active</v>
      </c>
      <c r="T306" s="42" t="n">
        <f aca="false">IF(ISNUMBER($AF306),INDEX(IDX_SrcGrade,$AF306),"—")</f>
        <v>2</v>
      </c>
      <c r="U306" s="42" t="s">
        <v>3919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2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2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4626</v>
      </c>
      <c r="B307" s="224" t="s">
        <v>4620</v>
      </c>
      <c r="C307" s="28" t="s">
        <v>4540</v>
      </c>
      <c r="D307" s="28" t="s">
        <v>4345</v>
      </c>
      <c r="E307" s="19" t="s">
        <v>4621</v>
      </c>
      <c r="F307" s="224" t="s">
        <v>332</v>
      </c>
      <c r="G307" s="224" t="s">
        <v>3882</v>
      </c>
      <c r="H307" s="28" t="s">
        <v>4627</v>
      </c>
      <c r="I307" s="19" t="s">
        <v>3917</v>
      </c>
      <c r="J307" s="28" t="s">
        <v>620</v>
      </c>
      <c r="K307" s="224"/>
      <c r="L307" s="224"/>
      <c r="M307" s="28" t="s">
        <v>620</v>
      </c>
      <c r="N307" s="19" t="s">
        <v>4625</v>
      </c>
      <c r="O307" s="6" t="s">
        <v>620</v>
      </c>
      <c r="P307" s="224" t="s">
        <v>3885</v>
      </c>
      <c r="Q307" s="31" t="n">
        <f aca="false">Workload!F40</f>
        <v>15</v>
      </c>
      <c r="R307" s="177" t="n">
        <f aca="false">SRC_HAR_002</f>
        <v>15</v>
      </c>
      <c r="S307" s="42" t="str">
        <f aca="false">IF(ISNUMBER($AF307),INDEX(IDX_SrcStat,$AF307),"—")</f>
        <v>Active</v>
      </c>
      <c r="T307" s="42" t="n">
        <f aca="false">IF(ISNUMBER($AF307),INDEX(IDX_SrcGrade,$AF307),"—")</f>
        <v>2</v>
      </c>
      <c r="U307" s="42" t="s">
        <v>3919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2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2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4628</v>
      </c>
      <c r="B308" s="224" t="s">
        <v>3880</v>
      </c>
      <c r="C308" s="28" t="s">
        <v>4629</v>
      </c>
      <c r="D308" s="28" t="s">
        <v>4541</v>
      </c>
      <c r="E308" s="6" t="s">
        <v>444</v>
      </c>
      <c r="F308" s="28" t="s">
        <v>104</v>
      </c>
      <c r="G308" s="224" t="s">
        <v>3882</v>
      </c>
      <c r="H308" s="28" t="s">
        <v>4630</v>
      </c>
      <c r="I308" s="19" t="s">
        <v>4631</v>
      </c>
      <c r="J308" s="28" t="s">
        <v>620</v>
      </c>
      <c r="K308" s="226" t="n">
        <v>0.15</v>
      </c>
      <c r="L308" s="226" t="n">
        <v>0.45</v>
      </c>
      <c r="M308" s="28" t="s">
        <v>4632</v>
      </c>
      <c r="N308" s="225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620</v>
      </c>
      <c r="P308" s="224" t="s">
        <v>1151</v>
      </c>
      <c r="Q308" s="187" t="n">
        <f aca="false">Calib!C5</f>
        <v>0.3</v>
      </c>
      <c r="R308" s="177" t="n">
        <f aca="false">SRC_PERF_041</f>
        <v>73700</v>
      </c>
      <c r="S308" s="42" t="str">
        <f aca="false">IF(ISNUMBER($AF308),INDEX(IDX_SrcStat,$AF308),"—")</f>
        <v>Active</v>
      </c>
      <c r="T308" s="42" t="n">
        <f aca="false">IF(ISNUMBER($AF308),INDEX(IDX_SrcGrade,$AF308),"—")</f>
        <v>1</v>
      </c>
      <c r="U308" s="42" t="s">
        <v>3886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2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2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4633</v>
      </c>
      <c r="B309" s="224" t="s">
        <v>3880</v>
      </c>
      <c r="C309" s="28" t="s">
        <v>4629</v>
      </c>
      <c r="D309" s="28" t="s">
        <v>4634</v>
      </c>
      <c r="E309" s="19" t="s">
        <v>452</v>
      </c>
      <c r="F309" s="224" t="s">
        <v>4635</v>
      </c>
      <c r="G309" s="224" t="s">
        <v>4636</v>
      </c>
      <c r="H309" s="28" t="s">
        <v>620</v>
      </c>
      <c r="I309" s="6" t="s">
        <v>620</v>
      </c>
      <c r="J309" s="28" t="s">
        <v>620</v>
      </c>
      <c r="K309" s="224"/>
      <c r="L309" s="224"/>
      <c r="M309" s="28" t="s">
        <v>620</v>
      </c>
      <c r="N309" s="19" t="s">
        <v>4637</v>
      </c>
      <c r="O309" s="6" t="s">
        <v>620</v>
      </c>
      <c r="P309" s="28" t="s">
        <v>620</v>
      </c>
      <c r="Q309" s="177" t="s">
        <v>620</v>
      </c>
      <c r="R309" s="28" t="s">
        <v>620</v>
      </c>
      <c r="S309" s="42" t="str">
        <f aca="false">IF(ISNUMBER($AF309),INDEX(IDX_SrcStat,$AF309),"—")</f>
        <v>—</v>
      </c>
      <c r="T309" s="42" t="str">
        <f aca="false">IF(ISNUMBER($AF309),INDEX(IDX_SrcGrade,$AF309),"—")</f>
        <v>—</v>
      </c>
      <c r="U309" s="28" t="s">
        <v>620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2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2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4638</v>
      </c>
      <c r="B310" s="224" t="s">
        <v>3880</v>
      </c>
      <c r="C310" s="28" t="s">
        <v>4629</v>
      </c>
      <c r="D310" s="28" t="s">
        <v>4144</v>
      </c>
      <c r="E310" s="6" t="s">
        <v>458</v>
      </c>
      <c r="F310" s="224" t="s">
        <v>332</v>
      </c>
      <c r="G310" s="224" t="s">
        <v>3882</v>
      </c>
      <c r="H310" s="28" t="s">
        <v>4639</v>
      </c>
      <c r="I310" s="19" t="s">
        <v>3917</v>
      </c>
      <c r="J310" s="28" t="s">
        <v>620</v>
      </c>
      <c r="K310" s="224"/>
      <c r="L310" s="224"/>
      <c r="M310" s="28" t="s">
        <v>620</v>
      </c>
      <c r="N310" s="19" t="s">
        <v>4020</v>
      </c>
      <c r="O310" s="6" t="s">
        <v>620</v>
      </c>
      <c r="P310" s="224" t="s">
        <v>3885</v>
      </c>
      <c r="Q310" s="31" t="n">
        <f aca="false">Calib!C13</f>
        <v>1</v>
      </c>
      <c r="R310" s="177" t="n">
        <f aca="false">SRC_PERF_009_MTP</f>
        <v>1</v>
      </c>
      <c r="S310" s="42" t="str">
        <f aca="false">IF(ISNUMBER($AF310),INDEX(IDX_SrcStat,$AF310),"—")</f>
        <v>Active</v>
      </c>
      <c r="T310" s="42" t="n">
        <f aca="false">IF(ISNUMBER($AF310),INDEX(IDX_SrcGrade,$AF310),"—")</f>
        <v>2</v>
      </c>
      <c r="U310" s="42" t="s">
        <v>3919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2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2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4640</v>
      </c>
      <c r="B311" s="224" t="s">
        <v>3880</v>
      </c>
      <c r="C311" s="28" t="s">
        <v>4629</v>
      </c>
      <c r="D311" s="28" t="s">
        <v>4393</v>
      </c>
      <c r="E311" s="19" t="s">
        <v>459</v>
      </c>
      <c r="F311" s="224" t="s">
        <v>332</v>
      </c>
      <c r="G311" s="224" t="s">
        <v>3882</v>
      </c>
      <c r="H311" s="28" t="s">
        <v>4639</v>
      </c>
      <c r="I311" s="19" t="s">
        <v>3917</v>
      </c>
      <c r="J311" s="28" t="s">
        <v>620</v>
      </c>
      <c r="K311" s="224"/>
      <c r="L311" s="224"/>
      <c r="M311" s="28" t="s">
        <v>620</v>
      </c>
      <c r="N311" s="19" t="s">
        <v>4020</v>
      </c>
      <c r="O311" s="6" t="s">
        <v>620</v>
      </c>
      <c r="P311" s="224" t="s">
        <v>1151</v>
      </c>
      <c r="Q311" s="47" t="n">
        <f aca="false">Calib!C14</f>
        <v>72</v>
      </c>
      <c r="R311" s="177" t="n">
        <f aca="false">SRC_PERF_009_Spd</f>
        <v>72</v>
      </c>
      <c r="S311" s="42" t="str">
        <f aca="false">IF(ISNUMBER($AF311),INDEX(IDX_SrcStat,$AF311),"—")</f>
        <v>Active</v>
      </c>
      <c r="T311" s="42" t="n">
        <f aca="false">IF(ISNUMBER($AF311),INDEX(IDX_SrcGrade,$AF311),"—")</f>
        <v>2</v>
      </c>
      <c r="U311" s="42" t="s">
        <v>3919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2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2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4641</v>
      </c>
      <c r="B312" s="224" t="s">
        <v>3880</v>
      </c>
      <c r="C312" s="28" t="s">
        <v>4629</v>
      </c>
      <c r="D312" s="28" t="s">
        <v>4397</v>
      </c>
      <c r="E312" s="6" t="s">
        <v>460</v>
      </c>
      <c r="F312" s="224" t="s">
        <v>332</v>
      </c>
      <c r="G312" s="224" t="s">
        <v>3882</v>
      </c>
      <c r="H312" s="28" t="s">
        <v>4639</v>
      </c>
      <c r="I312" s="19" t="s">
        <v>3917</v>
      </c>
      <c r="J312" s="28" t="s">
        <v>620</v>
      </c>
      <c r="K312" s="224"/>
      <c r="L312" s="224"/>
      <c r="M312" s="28" t="s">
        <v>620</v>
      </c>
      <c r="N312" s="19" t="s">
        <v>4020</v>
      </c>
      <c r="O312" s="6" t="s">
        <v>620</v>
      </c>
      <c r="P312" s="224" t="s">
        <v>1151</v>
      </c>
      <c r="Q312" s="47" t="n">
        <f aca="false">Calib!C15</f>
        <v>8192</v>
      </c>
      <c r="R312" s="177" t="n">
        <f aca="false">SRC_PERF_009_ISL</f>
        <v>8192</v>
      </c>
      <c r="S312" s="42" t="str">
        <f aca="false">IF(ISNUMBER($AF312),INDEX(IDX_SrcStat,$AF312),"—")</f>
        <v>Active</v>
      </c>
      <c r="T312" s="42" t="n">
        <f aca="false">IF(ISNUMBER($AF312),INDEX(IDX_SrcGrade,$AF312),"—")</f>
        <v>2</v>
      </c>
      <c r="U312" s="42" t="s">
        <v>3919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2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2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4642</v>
      </c>
      <c r="B313" s="224" t="s">
        <v>3880</v>
      </c>
      <c r="C313" s="28" t="s">
        <v>4629</v>
      </c>
      <c r="D313" s="28" t="s">
        <v>4402</v>
      </c>
      <c r="E313" s="6" t="s">
        <v>461</v>
      </c>
      <c r="F313" s="224" t="s">
        <v>332</v>
      </c>
      <c r="G313" s="224" t="s">
        <v>3882</v>
      </c>
      <c r="H313" s="28" t="s">
        <v>4639</v>
      </c>
      <c r="I313" s="19" t="s">
        <v>3917</v>
      </c>
      <c r="J313" s="28" t="s">
        <v>620</v>
      </c>
      <c r="K313" s="224"/>
      <c r="L313" s="224"/>
      <c r="M313" s="28" t="s">
        <v>620</v>
      </c>
      <c r="N313" s="19" t="s">
        <v>4020</v>
      </c>
      <c r="O313" s="6" t="s">
        <v>620</v>
      </c>
      <c r="P313" s="224" t="s">
        <v>1151</v>
      </c>
      <c r="Q313" s="47" t="n">
        <f aca="false">Calib!C16</f>
        <v>1024</v>
      </c>
      <c r="R313" s="177" t="n">
        <f aca="false">SRC_PERF_009_OSL</f>
        <v>1024</v>
      </c>
      <c r="S313" s="42" t="str">
        <f aca="false">IF(ISNUMBER($AF313),INDEX(IDX_SrcStat,$AF313),"—")</f>
        <v>Active</v>
      </c>
      <c r="T313" s="42" t="n">
        <f aca="false">IF(ISNUMBER($AF313),INDEX(IDX_SrcGrade,$AF313),"—")</f>
        <v>2</v>
      </c>
      <c r="U313" s="42" t="s">
        <v>3919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2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2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4643</v>
      </c>
      <c r="B314" s="224" t="s">
        <v>3880</v>
      </c>
      <c r="C314" s="28" t="s">
        <v>4629</v>
      </c>
      <c r="D314" s="28" t="s">
        <v>4424</v>
      </c>
      <c r="E314" s="19" t="s">
        <v>4644</v>
      </c>
      <c r="F314" s="224" t="s">
        <v>332</v>
      </c>
      <c r="G314" s="224" t="s">
        <v>3882</v>
      </c>
      <c r="H314" s="28" t="s">
        <v>4639</v>
      </c>
      <c r="I314" s="19" t="s">
        <v>4645</v>
      </c>
      <c r="J314" s="28" t="s">
        <v>620</v>
      </c>
      <c r="K314" s="224"/>
      <c r="L314" s="224"/>
      <c r="M314" s="28" t="s">
        <v>620</v>
      </c>
      <c r="N314" s="19" t="s">
        <v>4020</v>
      </c>
      <c r="O314" s="6" t="s">
        <v>4646</v>
      </c>
      <c r="P314" s="224" t="s">
        <v>1151</v>
      </c>
      <c r="Q314" s="47" t="n">
        <f aca="false">Calib!C17</f>
        <v>9342.1</v>
      </c>
      <c r="R314" s="177" t="n">
        <f aca="false">SRC_PERF_009</f>
        <v>9342.1</v>
      </c>
      <c r="S314" s="42" t="str">
        <f aca="false">IF(ISNUMBER($AF314),INDEX(IDX_SrcStat,$AF314),"—")</f>
        <v>Active</v>
      </c>
      <c r="T314" s="42" t="n">
        <f aca="false">IF(ISNUMBER($AF314),INDEX(IDX_SrcGrade,$AF314),"—")</f>
        <v>2</v>
      </c>
      <c r="U314" s="42" t="s">
        <v>3919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2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2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4647</v>
      </c>
      <c r="B315" s="224" t="s">
        <v>3880</v>
      </c>
      <c r="C315" s="28" t="s">
        <v>4629</v>
      </c>
      <c r="D315" s="28" t="s">
        <v>3913</v>
      </c>
      <c r="E315" s="6" t="s">
        <v>458</v>
      </c>
      <c r="F315" s="224" t="s">
        <v>332</v>
      </c>
      <c r="G315" s="224" t="s">
        <v>3882</v>
      </c>
      <c r="H315" s="28" t="s">
        <v>4648</v>
      </c>
      <c r="I315" s="19" t="s">
        <v>3917</v>
      </c>
      <c r="J315" s="28" t="s">
        <v>620</v>
      </c>
      <c r="K315" s="224"/>
      <c r="L315" s="224"/>
      <c r="M315" s="28" t="s">
        <v>620</v>
      </c>
      <c r="N315" s="19" t="s">
        <v>4020</v>
      </c>
      <c r="O315" s="6" t="s">
        <v>620</v>
      </c>
      <c r="P315" s="224" t="s">
        <v>3885</v>
      </c>
      <c r="Q315" s="31" t="n">
        <f aca="false">Calib!D13</f>
        <v>1</v>
      </c>
      <c r="R315" s="177" t="n">
        <f aca="false">SRC_PERF_010_MTP</f>
        <v>1</v>
      </c>
      <c r="S315" s="42" t="str">
        <f aca="false">IF(ISNUMBER($AF315),INDEX(IDX_SrcStat,$AF315),"—")</f>
        <v>Active</v>
      </c>
      <c r="T315" s="42" t="n">
        <f aca="false">IF(ISNUMBER($AF315),INDEX(IDX_SrcGrade,$AF315),"—")</f>
        <v>2</v>
      </c>
      <c r="U315" s="42" t="s">
        <v>3919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2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2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4649</v>
      </c>
      <c r="B316" s="224" t="s">
        <v>3880</v>
      </c>
      <c r="C316" s="28" t="s">
        <v>4629</v>
      </c>
      <c r="D316" s="28" t="s">
        <v>3923</v>
      </c>
      <c r="E316" s="19" t="s">
        <v>459</v>
      </c>
      <c r="F316" s="224" t="s">
        <v>332</v>
      </c>
      <c r="G316" s="224" t="s">
        <v>3882</v>
      </c>
      <c r="H316" s="28" t="s">
        <v>4648</v>
      </c>
      <c r="I316" s="19" t="s">
        <v>3917</v>
      </c>
      <c r="J316" s="28" t="s">
        <v>620</v>
      </c>
      <c r="K316" s="224"/>
      <c r="L316" s="224"/>
      <c r="M316" s="28" t="s">
        <v>620</v>
      </c>
      <c r="N316" s="19" t="s">
        <v>4020</v>
      </c>
      <c r="O316" s="6" t="s">
        <v>620</v>
      </c>
      <c r="P316" s="224" t="s">
        <v>1151</v>
      </c>
      <c r="Q316" s="47" t="n">
        <f aca="false">Calib!D14</f>
        <v>130</v>
      </c>
      <c r="R316" s="177" t="n">
        <f aca="false">SRC_PERF_010_Spd</f>
        <v>130</v>
      </c>
      <c r="S316" s="42" t="str">
        <f aca="false">IF(ISNUMBER($AF316),INDEX(IDX_SrcStat,$AF316),"—")</f>
        <v>Active</v>
      </c>
      <c r="T316" s="42" t="n">
        <f aca="false">IF(ISNUMBER($AF316),INDEX(IDX_SrcGrade,$AF316),"—")</f>
        <v>2</v>
      </c>
      <c r="U316" s="42" t="s">
        <v>3919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2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2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4650</v>
      </c>
      <c r="B317" s="224" t="s">
        <v>3880</v>
      </c>
      <c r="C317" s="28" t="s">
        <v>4629</v>
      </c>
      <c r="D317" s="28" t="s">
        <v>4400</v>
      </c>
      <c r="E317" s="6" t="s">
        <v>460</v>
      </c>
      <c r="F317" s="224" t="s">
        <v>332</v>
      </c>
      <c r="G317" s="224" t="s">
        <v>3882</v>
      </c>
      <c r="H317" s="28" t="s">
        <v>4648</v>
      </c>
      <c r="I317" s="19" t="s">
        <v>3917</v>
      </c>
      <c r="J317" s="28" t="s">
        <v>620</v>
      </c>
      <c r="K317" s="224"/>
      <c r="L317" s="224"/>
      <c r="M317" s="28" t="s">
        <v>620</v>
      </c>
      <c r="N317" s="19" t="s">
        <v>4020</v>
      </c>
      <c r="O317" s="6" t="s">
        <v>620</v>
      </c>
      <c r="P317" s="224" t="s">
        <v>1151</v>
      </c>
      <c r="Q317" s="47" t="n">
        <f aca="false">Calib!D15</f>
        <v>8192</v>
      </c>
      <c r="R317" s="177" t="n">
        <f aca="false">SRC_PERF_010_ISL</f>
        <v>8192</v>
      </c>
      <c r="S317" s="42" t="str">
        <f aca="false">IF(ISNUMBER($AF317),INDEX(IDX_SrcStat,$AF317),"—")</f>
        <v>Active</v>
      </c>
      <c r="T317" s="42" t="n">
        <f aca="false">IF(ISNUMBER($AF317),INDEX(IDX_SrcGrade,$AF317),"—")</f>
        <v>2</v>
      </c>
      <c r="U317" s="42" t="s">
        <v>3919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2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2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4651</v>
      </c>
      <c r="B318" s="224" t="s">
        <v>3880</v>
      </c>
      <c r="C318" s="28" t="s">
        <v>4629</v>
      </c>
      <c r="D318" s="28" t="s">
        <v>3929</v>
      </c>
      <c r="E318" s="6" t="s">
        <v>461</v>
      </c>
      <c r="F318" s="224" t="s">
        <v>332</v>
      </c>
      <c r="G318" s="224" t="s">
        <v>3882</v>
      </c>
      <c r="H318" s="28" t="s">
        <v>4648</v>
      </c>
      <c r="I318" s="19" t="s">
        <v>3917</v>
      </c>
      <c r="J318" s="28" t="s">
        <v>620</v>
      </c>
      <c r="K318" s="224"/>
      <c r="L318" s="224"/>
      <c r="M318" s="28" t="s">
        <v>620</v>
      </c>
      <c r="N318" s="19" t="s">
        <v>4020</v>
      </c>
      <c r="O318" s="6" t="s">
        <v>620</v>
      </c>
      <c r="P318" s="224" t="s">
        <v>1151</v>
      </c>
      <c r="Q318" s="47" t="n">
        <f aca="false">Calib!D16</f>
        <v>1024</v>
      </c>
      <c r="R318" s="177" t="n">
        <f aca="false">SRC_PERF_010_OSL</f>
        <v>1024</v>
      </c>
      <c r="S318" s="42" t="str">
        <f aca="false">IF(ISNUMBER($AF318),INDEX(IDX_SrcStat,$AF318),"—")</f>
        <v>Active</v>
      </c>
      <c r="T318" s="42" t="n">
        <f aca="false">IF(ISNUMBER($AF318),INDEX(IDX_SrcGrade,$AF318),"—")</f>
        <v>2</v>
      </c>
      <c r="U318" s="42" t="s">
        <v>3919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2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2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4652</v>
      </c>
      <c r="B319" s="224" t="s">
        <v>3880</v>
      </c>
      <c r="C319" s="28" t="s">
        <v>4629</v>
      </c>
      <c r="D319" s="28" t="s">
        <v>3935</v>
      </c>
      <c r="E319" s="19" t="s">
        <v>4644</v>
      </c>
      <c r="F319" s="224" t="s">
        <v>332</v>
      </c>
      <c r="G319" s="224" t="s">
        <v>3882</v>
      </c>
      <c r="H319" s="28" t="s">
        <v>4648</v>
      </c>
      <c r="I319" s="19" t="s">
        <v>4653</v>
      </c>
      <c r="J319" s="28" t="s">
        <v>620</v>
      </c>
      <c r="K319" s="224"/>
      <c r="L319" s="224"/>
      <c r="M319" s="28" t="s">
        <v>620</v>
      </c>
      <c r="N319" s="19" t="s">
        <v>4020</v>
      </c>
      <c r="O319" s="6" t="s">
        <v>4654</v>
      </c>
      <c r="P319" s="224" t="s">
        <v>1151</v>
      </c>
      <c r="Q319" s="47" t="n">
        <f aca="false">Calib!D17</f>
        <v>3405.2</v>
      </c>
      <c r="R319" s="177" t="n">
        <f aca="false">SRC_PERF_010</f>
        <v>3405.2</v>
      </c>
      <c r="S319" s="42" t="str">
        <f aca="false">IF(ISNUMBER($AF319),INDEX(IDX_SrcStat,$AF319),"—")</f>
        <v>Active</v>
      </c>
      <c r="T319" s="42" t="n">
        <f aca="false">IF(ISNUMBER($AF319),INDEX(IDX_SrcGrade,$AF319),"—")</f>
        <v>2</v>
      </c>
      <c r="U319" s="42" t="s">
        <v>3919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2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2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4655</v>
      </c>
      <c r="B320" s="224" t="s">
        <v>3880</v>
      </c>
      <c r="C320" s="28" t="s">
        <v>4629</v>
      </c>
      <c r="D320" s="28" t="s">
        <v>3753</v>
      </c>
      <c r="E320" s="6" t="s">
        <v>458</v>
      </c>
      <c r="F320" s="224" t="s">
        <v>332</v>
      </c>
      <c r="G320" s="224" t="s">
        <v>3882</v>
      </c>
      <c r="H320" s="28" t="s">
        <v>4656</v>
      </c>
      <c r="I320" s="19" t="s">
        <v>3917</v>
      </c>
      <c r="J320" s="28" t="s">
        <v>620</v>
      </c>
      <c r="K320" s="224"/>
      <c r="L320" s="224"/>
      <c r="M320" s="28" t="s">
        <v>620</v>
      </c>
      <c r="N320" s="19" t="s">
        <v>4020</v>
      </c>
      <c r="O320" s="6" t="s">
        <v>620</v>
      </c>
      <c r="P320" s="224" t="s">
        <v>3885</v>
      </c>
      <c r="Q320" s="31" t="n">
        <f aca="false">Calib!E13</f>
        <v>1</v>
      </c>
      <c r="R320" s="177" t="n">
        <f aca="false">SRC_PERF_004_MTP</f>
        <v>1</v>
      </c>
      <c r="S320" s="42" t="str">
        <f aca="false">IF(ISNUMBER($AF320),INDEX(IDX_SrcStat,$AF320),"—")</f>
        <v>Active</v>
      </c>
      <c r="T320" s="42" t="n">
        <f aca="false">IF(ISNUMBER($AF320),INDEX(IDX_SrcGrade,$AF320),"—")</f>
        <v>1</v>
      </c>
      <c r="U320" s="42" t="s">
        <v>3919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2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2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4657</v>
      </c>
      <c r="B321" s="224" t="s">
        <v>3880</v>
      </c>
      <c r="C321" s="28" t="s">
        <v>4629</v>
      </c>
      <c r="D321" s="28" t="s">
        <v>3921</v>
      </c>
      <c r="E321" s="19" t="s">
        <v>459</v>
      </c>
      <c r="F321" s="224" t="s">
        <v>332</v>
      </c>
      <c r="G321" s="224" t="s">
        <v>3882</v>
      </c>
      <c r="H321" s="28" t="s">
        <v>4656</v>
      </c>
      <c r="I321" s="19" t="s">
        <v>3917</v>
      </c>
      <c r="J321" s="28" t="s">
        <v>620</v>
      </c>
      <c r="K321" s="224"/>
      <c r="L321" s="224"/>
      <c r="M321" s="28" t="s">
        <v>620</v>
      </c>
      <c r="N321" s="19" t="s">
        <v>4020</v>
      </c>
      <c r="O321" s="6" t="s">
        <v>620</v>
      </c>
      <c r="P321" s="224" t="s">
        <v>1151</v>
      </c>
      <c r="Q321" s="47" t="n">
        <f aca="false">Calib!E14</f>
        <v>50</v>
      </c>
      <c r="R321" s="177" t="n">
        <f aca="false">SRC_PERF_004_Spd</f>
        <v>50</v>
      </c>
      <c r="S321" s="42" t="str">
        <f aca="false">IF(ISNUMBER($AF321),INDEX(IDX_SrcStat,$AF321),"—")</f>
        <v>Active</v>
      </c>
      <c r="T321" s="42" t="n">
        <f aca="false">IF(ISNUMBER($AF321),INDEX(IDX_SrcGrade,$AF321),"—")</f>
        <v>1</v>
      </c>
      <c r="U321" s="42" t="s">
        <v>3919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2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2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4658</v>
      </c>
      <c r="B322" s="224" t="s">
        <v>3880</v>
      </c>
      <c r="C322" s="28" t="s">
        <v>4629</v>
      </c>
      <c r="D322" s="28" t="s">
        <v>4448</v>
      </c>
      <c r="E322" s="6" t="s">
        <v>460</v>
      </c>
      <c r="F322" s="224" t="s">
        <v>332</v>
      </c>
      <c r="G322" s="224" t="s">
        <v>3882</v>
      </c>
      <c r="H322" s="28" t="s">
        <v>4656</v>
      </c>
      <c r="I322" s="19" t="s">
        <v>3917</v>
      </c>
      <c r="J322" s="28" t="s">
        <v>620</v>
      </c>
      <c r="K322" s="224"/>
      <c r="L322" s="224"/>
      <c r="M322" s="28" t="s">
        <v>620</v>
      </c>
      <c r="N322" s="19" t="s">
        <v>4020</v>
      </c>
      <c r="O322" s="6" t="s">
        <v>620</v>
      </c>
      <c r="P322" s="224" t="s">
        <v>1151</v>
      </c>
      <c r="Q322" s="47" t="n">
        <f aca="false">Calib!E15</f>
        <v>8192</v>
      </c>
      <c r="R322" s="177" t="n">
        <f aca="false">SRC_PERF_004_ISL</f>
        <v>8192</v>
      </c>
      <c r="S322" s="42" t="str">
        <f aca="false">IF(ISNUMBER($AF322),INDEX(IDX_SrcStat,$AF322),"—")</f>
        <v>Active</v>
      </c>
      <c r="T322" s="42" t="n">
        <f aca="false">IF(ISNUMBER($AF322),INDEX(IDX_SrcGrade,$AF322),"—")</f>
        <v>1</v>
      </c>
      <c r="U322" s="42" t="s">
        <v>3919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2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2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4659</v>
      </c>
      <c r="B323" s="224" t="s">
        <v>3880</v>
      </c>
      <c r="C323" s="28" t="s">
        <v>4629</v>
      </c>
      <c r="D323" s="28" t="s">
        <v>3927</v>
      </c>
      <c r="E323" s="6" t="s">
        <v>461</v>
      </c>
      <c r="F323" s="224" t="s">
        <v>332</v>
      </c>
      <c r="G323" s="224" t="s">
        <v>3882</v>
      </c>
      <c r="H323" s="28" t="s">
        <v>4656</v>
      </c>
      <c r="I323" s="19" t="s">
        <v>3917</v>
      </c>
      <c r="J323" s="28" t="s">
        <v>620</v>
      </c>
      <c r="K323" s="224"/>
      <c r="L323" s="224"/>
      <c r="M323" s="28" t="s">
        <v>620</v>
      </c>
      <c r="N323" s="19" t="s">
        <v>4020</v>
      </c>
      <c r="O323" s="6" t="s">
        <v>620</v>
      </c>
      <c r="P323" s="224" t="s">
        <v>1151</v>
      </c>
      <c r="Q323" s="47" t="n">
        <f aca="false">Calib!E16</f>
        <v>1024</v>
      </c>
      <c r="R323" s="177" t="n">
        <f aca="false">SRC_PERF_004_OSL</f>
        <v>1024</v>
      </c>
      <c r="S323" s="42" t="str">
        <f aca="false">IF(ISNUMBER($AF323),INDEX(IDX_SrcStat,$AF323),"—")</f>
        <v>Active</v>
      </c>
      <c r="T323" s="42" t="n">
        <f aca="false">IF(ISNUMBER($AF323),INDEX(IDX_SrcGrade,$AF323),"—")</f>
        <v>1</v>
      </c>
      <c r="U323" s="42" t="s">
        <v>3919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2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2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4660</v>
      </c>
      <c r="B324" s="224" t="s">
        <v>3880</v>
      </c>
      <c r="C324" s="28" t="s">
        <v>4629</v>
      </c>
      <c r="D324" s="28" t="s">
        <v>3933</v>
      </c>
      <c r="E324" s="19" t="s">
        <v>4644</v>
      </c>
      <c r="F324" s="224" t="s">
        <v>332</v>
      </c>
      <c r="G324" s="224" t="s">
        <v>3882</v>
      </c>
      <c r="H324" s="28" t="s">
        <v>4656</v>
      </c>
      <c r="I324" s="19" t="s">
        <v>3917</v>
      </c>
      <c r="J324" s="28" t="s">
        <v>620</v>
      </c>
      <c r="K324" s="224"/>
      <c r="L324" s="224"/>
      <c r="M324" s="28" t="s">
        <v>620</v>
      </c>
      <c r="N324" s="19" t="s">
        <v>4020</v>
      </c>
      <c r="O324" s="6" t="s">
        <v>620</v>
      </c>
      <c r="P324" s="224" t="s">
        <v>1151</v>
      </c>
      <c r="Q324" s="47" t="n">
        <f aca="false">Calib!E17</f>
        <v>11200</v>
      </c>
      <c r="R324" s="177" t="n">
        <f aca="false">SRC_PERF_004</f>
        <v>11200</v>
      </c>
      <c r="S324" s="42" t="str">
        <f aca="false">IF(ISNUMBER($AF324),INDEX(IDX_SrcStat,$AF324),"—")</f>
        <v>Active</v>
      </c>
      <c r="T324" s="42" t="n">
        <f aca="false">IF(ISNUMBER($AF324),INDEX(IDX_SrcGrade,$AF324),"—")</f>
        <v>1</v>
      </c>
      <c r="U324" s="42" t="s">
        <v>3919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2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2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4661</v>
      </c>
      <c r="B325" s="224" t="s">
        <v>3880</v>
      </c>
      <c r="C325" s="28" t="s">
        <v>4629</v>
      </c>
      <c r="D325" s="28" t="s">
        <v>3915</v>
      </c>
      <c r="E325" s="6" t="s">
        <v>458</v>
      </c>
      <c r="F325" s="224" t="s">
        <v>332</v>
      </c>
      <c r="G325" s="224" t="s">
        <v>3882</v>
      </c>
      <c r="H325" s="28" t="s">
        <v>4662</v>
      </c>
      <c r="I325" s="19" t="s">
        <v>3917</v>
      </c>
      <c r="J325" s="28" t="s">
        <v>620</v>
      </c>
      <c r="K325" s="224"/>
      <c r="L325" s="224"/>
      <c r="M325" s="28" t="s">
        <v>620</v>
      </c>
      <c r="N325" s="19" t="s">
        <v>4020</v>
      </c>
      <c r="O325" s="6" t="s">
        <v>620</v>
      </c>
      <c r="P325" s="224" t="s">
        <v>3885</v>
      </c>
      <c r="Q325" s="31" t="n">
        <f aca="false">Calib!F13</f>
        <v>0</v>
      </c>
      <c r="R325" s="177" t="n">
        <f aca="false">SRC_PERF_001_MTP</f>
        <v>0</v>
      </c>
      <c r="S325" s="42" t="str">
        <f aca="false">IF(ISNUMBER($AF325),INDEX(IDX_SrcStat,$AF325),"—")</f>
        <v>Active</v>
      </c>
      <c r="T325" s="42" t="n">
        <f aca="false">IF(ISNUMBER($AF325),INDEX(IDX_SrcGrade,$AF325),"—")</f>
        <v>1</v>
      </c>
      <c r="U325" s="42" t="s">
        <v>3919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2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2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4663</v>
      </c>
      <c r="B326" s="224" t="s">
        <v>3880</v>
      </c>
      <c r="C326" s="28" t="s">
        <v>4629</v>
      </c>
      <c r="D326" s="28" t="s">
        <v>3925</v>
      </c>
      <c r="E326" s="19" t="s">
        <v>459</v>
      </c>
      <c r="F326" s="224" t="s">
        <v>332</v>
      </c>
      <c r="G326" s="224" t="s">
        <v>3882</v>
      </c>
      <c r="H326" s="28" t="s">
        <v>4662</v>
      </c>
      <c r="I326" s="19" t="s">
        <v>3917</v>
      </c>
      <c r="J326" s="28" t="s">
        <v>620</v>
      </c>
      <c r="K326" s="224"/>
      <c r="L326" s="224"/>
      <c r="M326" s="28" t="s">
        <v>620</v>
      </c>
      <c r="N326" s="19" t="s">
        <v>4020</v>
      </c>
      <c r="O326" s="6" t="s">
        <v>620</v>
      </c>
      <c r="P326" s="224" t="s">
        <v>1151</v>
      </c>
      <c r="Q326" s="47" t="n">
        <f aca="false">Calib!F14</f>
        <v>27</v>
      </c>
      <c r="R326" s="177" t="n">
        <f aca="false">SRC_PERF_001_Spd</f>
        <v>27</v>
      </c>
      <c r="S326" s="42" t="str">
        <f aca="false">IF(ISNUMBER($AF326),INDEX(IDX_SrcStat,$AF326),"—")</f>
        <v>Active</v>
      </c>
      <c r="T326" s="42" t="n">
        <f aca="false">IF(ISNUMBER($AF326),INDEX(IDX_SrcGrade,$AF326),"—")</f>
        <v>1</v>
      </c>
      <c r="U326" s="42" t="s">
        <v>3919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2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2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4664</v>
      </c>
      <c r="B327" s="224" t="s">
        <v>3880</v>
      </c>
      <c r="C327" s="28" t="s">
        <v>4629</v>
      </c>
      <c r="D327" s="28" t="s">
        <v>4665</v>
      </c>
      <c r="E327" s="6" t="s">
        <v>460</v>
      </c>
      <c r="F327" s="224" t="s">
        <v>332</v>
      </c>
      <c r="G327" s="224" t="s">
        <v>3882</v>
      </c>
      <c r="H327" s="28" t="s">
        <v>4662</v>
      </c>
      <c r="I327" s="19" t="s">
        <v>3917</v>
      </c>
      <c r="J327" s="28" t="s">
        <v>620</v>
      </c>
      <c r="K327" s="224"/>
      <c r="L327" s="224"/>
      <c r="M327" s="28" t="s">
        <v>620</v>
      </c>
      <c r="N327" s="19" t="s">
        <v>4020</v>
      </c>
      <c r="O327" s="6" t="s">
        <v>620</v>
      </c>
      <c r="P327" s="224" t="s">
        <v>1151</v>
      </c>
      <c r="Q327" s="47" t="n">
        <f aca="false">Calib!F15</f>
        <v>8192</v>
      </c>
      <c r="R327" s="177" t="n">
        <f aca="false">SRC_PERF_001_ISL</f>
        <v>8192</v>
      </c>
      <c r="S327" s="42" t="str">
        <f aca="false">IF(ISNUMBER($AF327),INDEX(IDX_SrcStat,$AF327),"—")</f>
        <v>Active</v>
      </c>
      <c r="T327" s="42" t="n">
        <f aca="false">IF(ISNUMBER($AF327),INDEX(IDX_SrcGrade,$AF327),"—")</f>
        <v>1</v>
      </c>
      <c r="U327" s="42" t="s">
        <v>3919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2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2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4666</v>
      </c>
      <c r="B328" s="224" t="s">
        <v>3880</v>
      </c>
      <c r="C328" s="28" t="s">
        <v>4629</v>
      </c>
      <c r="D328" s="28" t="s">
        <v>3931</v>
      </c>
      <c r="E328" s="6" t="s">
        <v>461</v>
      </c>
      <c r="F328" s="224" t="s">
        <v>332</v>
      </c>
      <c r="G328" s="224" t="s">
        <v>3882</v>
      </c>
      <c r="H328" s="28" t="s">
        <v>4662</v>
      </c>
      <c r="I328" s="19" t="s">
        <v>3917</v>
      </c>
      <c r="J328" s="28" t="s">
        <v>620</v>
      </c>
      <c r="K328" s="224"/>
      <c r="L328" s="224"/>
      <c r="M328" s="28" t="s">
        <v>620</v>
      </c>
      <c r="N328" s="19" t="s">
        <v>4020</v>
      </c>
      <c r="O328" s="6" t="s">
        <v>620</v>
      </c>
      <c r="P328" s="224" t="s">
        <v>1151</v>
      </c>
      <c r="Q328" s="47" t="n">
        <f aca="false">Calib!F16</f>
        <v>1024</v>
      </c>
      <c r="R328" s="177" t="n">
        <f aca="false">SRC_PERF_001_OSL</f>
        <v>1024</v>
      </c>
      <c r="S328" s="42" t="str">
        <f aca="false">IF(ISNUMBER($AF328),INDEX(IDX_SrcStat,$AF328),"—")</f>
        <v>Active</v>
      </c>
      <c r="T328" s="42" t="n">
        <f aca="false">IF(ISNUMBER($AF328),INDEX(IDX_SrcGrade,$AF328),"—")</f>
        <v>1</v>
      </c>
      <c r="U328" s="42" t="s">
        <v>3919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2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2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4667</v>
      </c>
      <c r="B329" s="224" t="s">
        <v>3880</v>
      </c>
      <c r="C329" s="28" t="s">
        <v>4629</v>
      </c>
      <c r="D329" s="28" t="s">
        <v>3937</v>
      </c>
      <c r="E329" s="19" t="s">
        <v>4644</v>
      </c>
      <c r="F329" s="224" t="s">
        <v>332</v>
      </c>
      <c r="G329" s="224" t="s">
        <v>3882</v>
      </c>
      <c r="H329" s="28" t="s">
        <v>4662</v>
      </c>
      <c r="I329" s="19" t="s">
        <v>3917</v>
      </c>
      <c r="J329" s="28" t="s">
        <v>620</v>
      </c>
      <c r="K329" s="224"/>
      <c r="L329" s="224"/>
      <c r="M329" s="28" t="s">
        <v>620</v>
      </c>
      <c r="N329" s="19" t="s">
        <v>4020</v>
      </c>
      <c r="O329" s="6" t="s">
        <v>620</v>
      </c>
      <c r="P329" s="224" t="s">
        <v>1151</v>
      </c>
      <c r="Q329" s="47" t="n">
        <f aca="false">Calib!F17</f>
        <v>6182</v>
      </c>
      <c r="R329" s="177" t="n">
        <f aca="false">SRC_PERF_001</f>
        <v>6182</v>
      </c>
      <c r="S329" s="42" t="str">
        <f aca="false">IF(ISNUMBER($AF329),INDEX(IDX_SrcStat,$AF329),"—")</f>
        <v>Active</v>
      </c>
      <c r="T329" s="42" t="n">
        <f aca="false">IF(ISNUMBER($AF329),INDEX(IDX_SrcGrade,$AF329),"—")</f>
        <v>1</v>
      </c>
      <c r="U329" s="42" t="s">
        <v>3919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2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2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4668</v>
      </c>
      <c r="B330" s="224" t="s">
        <v>3880</v>
      </c>
      <c r="C330" s="28" t="s">
        <v>4629</v>
      </c>
      <c r="D330" s="28" t="s">
        <v>4156</v>
      </c>
      <c r="E330" s="6" t="s">
        <v>458</v>
      </c>
      <c r="F330" s="224" t="s">
        <v>332</v>
      </c>
      <c r="G330" s="224" t="s">
        <v>3882</v>
      </c>
      <c r="H330" s="28" t="s">
        <v>4669</v>
      </c>
      <c r="I330" s="19" t="s">
        <v>3917</v>
      </c>
      <c r="J330" s="28" t="s">
        <v>620</v>
      </c>
      <c r="K330" s="224"/>
      <c r="L330" s="224"/>
      <c r="M330" s="28" t="s">
        <v>620</v>
      </c>
      <c r="N330" s="19" t="s">
        <v>4020</v>
      </c>
      <c r="O330" s="6" t="s">
        <v>620</v>
      </c>
      <c r="P330" s="224" t="s">
        <v>3885</v>
      </c>
      <c r="Q330" s="31" t="n">
        <f aca="false">Calib!G13</f>
        <v>0</v>
      </c>
      <c r="R330" s="177" t="n">
        <f aca="false">SRC_PERF_002_MTP</f>
        <v>0</v>
      </c>
      <c r="S330" s="42" t="str">
        <f aca="false">IF(ISNUMBER($AF330),INDEX(IDX_SrcStat,$AF330),"—")</f>
        <v>Active</v>
      </c>
      <c r="T330" s="42" t="n">
        <f aca="false">IF(ISNUMBER($AF330),INDEX(IDX_SrcGrade,$AF330),"—")</f>
        <v>1</v>
      </c>
      <c r="U330" s="42" t="s">
        <v>3919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2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2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4670</v>
      </c>
      <c r="B331" s="224" t="s">
        <v>3880</v>
      </c>
      <c r="C331" s="28" t="s">
        <v>4629</v>
      </c>
      <c r="D331" s="28" t="s">
        <v>4618</v>
      </c>
      <c r="E331" s="19" t="s">
        <v>459</v>
      </c>
      <c r="F331" s="224" t="s">
        <v>332</v>
      </c>
      <c r="G331" s="224" t="s">
        <v>3882</v>
      </c>
      <c r="H331" s="28" t="s">
        <v>4669</v>
      </c>
      <c r="I331" s="19" t="s">
        <v>3917</v>
      </c>
      <c r="J331" s="28" t="s">
        <v>620</v>
      </c>
      <c r="K331" s="224"/>
      <c r="L331" s="224"/>
      <c r="M331" s="28" t="s">
        <v>620</v>
      </c>
      <c r="N331" s="19" t="s">
        <v>4020</v>
      </c>
      <c r="O331" s="6" t="s">
        <v>620</v>
      </c>
      <c r="P331" s="224" t="s">
        <v>1151</v>
      </c>
      <c r="Q331" s="47" t="n">
        <f aca="false">Calib!G14</f>
        <v>27</v>
      </c>
      <c r="R331" s="177" t="n">
        <f aca="false">SRC_PERF_002_Spd</f>
        <v>27</v>
      </c>
      <c r="S331" s="42" t="str">
        <f aca="false">IF(ISNUMBER($AF331),INDEX(IDX_SrcStat,$AF331),"—")</f>
        <v>Active</v>
      </c>
      <c r="T331" s="42" t="n">
        <f aca="false">IF(ISNUMBER($AF331),INDEX(IDX_SrcGrade,$AF331),"—")</f>
        <v>1</v>
      </c>
      <c r="U331" s="42" t="s">
        <v>3919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2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2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4671</v>
      </c>
      <c r="B332" s="224" t="s">
        <v>3880</v>
      </c>
      <c r="C332" s="28" t="s">
        <v>4629</v>
      </c>
      <c r="D332" s="28" t="s">
        <v>4672</v>
      </c>
      <c r="E332" s="6" t="s">
        <v>460</v>
      </c>
      <c r="F332" s="224" t="s">
        <v>332</v>
      </c>
      <c r="G332" s="224" t="s">
        <v>3882</v>
      </c>
      <c r="H332" s="28" t="s">
        <v>4669</v>
      </c>
      <c r="I332" s="19" t="s">
        <v>3917</v>
      </c>
      <c r="J332" s="28" t="s">
        <v>620</v>
      </c>
      <c r="K332" s="224"/>
      <c r="L332" s="224"/>
      <c r="M332" s="28" t="s">
        <v>620</v>
      </c>
      <c r="N332" s="19" t="s">
        <v>4020</v>
      </c>
      <c r="O332" s="6" t="s">
        <v>620</v>
      </c>
      <c r="P332" s="224" t="s">
        <v>1151</v>
      </c>
      <c r="Q332" s="47" t="n">
        <f aca="false">Calib!G15</f>
        <v>8192</v>
      </c>
      <c r="R332" s="177" t="n">
        <f aca="false">SRC_PERF_002_ISL</f>
        <v>8192</v>
      </c>
      <c r="S332" s="42" t="str">
        <f aca="false">IF(ISNUMBER($AF332),INDEX(IDX_SrcStat,$AF332),"—")</f>
        <v>Active</v>
      </c>
      <c r="T332" s="42" t="n">
        <f aca="false">IF(ISNUMBER($AF332),INDEX(IDX_SrcGrade,$AF332),"—")</f>
        <v>1</v>
      </c>
      <c r="U332" s="42" t="s">
        <v>3919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2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2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4673</v>
      </c>
      <c r="B333" s="224" t="s">
        <v>3880</v>
      </c>
      <c r="C333" s="28" t="s">
        <v>4629</v>
      </c>
      <c r="D333" s="28" t="s">
        <v>4674</v>
      </c>
      <c r="E333" s="6" t="s">
        <v>461</v>
      </c>
      <c r="F333" s="224" t="s">
        <v>332</v>
      </c>
      <c r="G333" s="224" t="s">
        <v>3882</v>
      </c>
      <c r="H333" s="28" t="s">
        <v>4669</v>
      </c>
      <c r="I333" s="19" t="s">
        <v>3917</v>
      </c>
      <c r="J333" s="28" t="s">
        <v>620</v>
      </c>
      <c r="K333" s="224"/>
      <c r="L333" s="224"/>
      <c r="M333" s="28" t="s">
        <v>620</v>
      </c>
      <c r="N333" s="19" t="s">
        <v>4020</v>
      </c>
      <c r="O333" s="6" t="s">
        <v>620</v>
      </c>
      <c r="P333" s="224" t="s">
        <v>1151</v>
      </c>
      <c r="Q333" s="47" t="n">
        <f aca="false">Calib!G16</f>
        <v>1024</v>
      </c>
      <c r="R333" s="177" t="n">
        <f aca="false">SRC_PERF_002_OSL</f>
        <v>1024</v>
      </c>
      <c r="S333" s="42" t="str">
        <f aca="false">IF(ISNUMBER($AF333),INDEX(IDX_SrcStat,$AF333),"—")</f>
        <v>Active</v>
      </c>
      <c r="T333" s="42" t="n">
        <f aca="false">IF(ISNUMBER($AF333),INDEX(IDX_SrcGrade,$AF333),"—")</f>
        <v>1</v>
      </c>
      <c r="U333" s="42" t="s">
        <v>3919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2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2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4675</v>
      </c>
      <c r="B334" s="224" t="s">
        <v>3880</v>
      </c>
      <c r="C334" s="28" t="s">
        <v>4629</v>
      </c>
      <c r="D334" s="28" t="s">
        <v>4676</v>
      </c>
      <c r="E334" s="19" t="s">
        <v>4644</v>
      </c>
      <c r="F334" s="224" t="s">
        <v>332</v>
      </c>
      <c r="G334" s="224" t="s">
        <v>3882</v>
      </c>
      <c r="H334" s="28" t="s">
        <v>4669</v>
      </c>
      <c r="I334" s="19" t="s">
        <v>3917</v>
      </c>
      <c r="J334" s="28" t="s">
        <v>620</v>
      </c>
      <c r="K334" s="224"/>
      <c r="L334" s="224"/>
      <c r="M334" s="28" t="s">
        <v>620</v>
      </c>
      <c r="N334" s="19" t="s">
        <v>4020</v>
      </c>
      <c r="O334" s="6" t="s">
        <v>620</v>
      </c>
      <c r="P334" s="224" t="s">
        <v>1151</v>
      </c>
      <c r="Q334" s="47" t="n">
        <f aca="false">Calib!G17</f>
        <v>2189</v>
      </c>
      <c r="R334" s="177" t="n">
        <f aca="false">SRC_PERF_002</f>
        <v>2189</v>
      </c>
      <c r="S334" s="42" t="str">
        <f aca="false">IF(ISNUMBER($AF334),INDEX(IDX_SrcStat,$AF334),"—")</f>
        <v>Active</v>
      </c>
      <c r="T334" s="42" t="n">
        <f aca="false">IF(ISNUMBER($AF334),INDEX(IDX_SrcGrade,$AF334),"—")</f>
        <v>1</v>
      </c>
      <c r="U334" s="42" t="s">
        <v>3919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2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2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4677</v>
      </c>
      <c r="B335" s="224" t="s">
        <v>3880</v>
      </c>
      <c r="C335" s="28" t="s">
        <v>4629</v>
      </c>
      <c r="D335" s="28" t="s">
        <v>4678</v>
      </c>
      <c r="E335" s="6" t="s">
        <v>458</v>
      </c>
      <c r="F335" s="224" t="s">
        <v>332</v>
      </c>
      <c r="G335" s="224" t="s">
        <v>3882</v>
      </c>
      <c r="H335" s="28" t="s">
        <v>4679</v>
      </c>
      <c r="I335" s="19" t="s">
        <v>3917</v>
      </c>
      <c r="J335" s="28" t="s">
        <v>620</v>
      </c>
      <c r="K335" s="224"/>
      <c r="L335" s="224"/>
      <c r="M335" s="28" t="s">
        <v>620</v>
      </c>
      <c r="N335" s="19" t="s">
        <v>4020</v>
      </c>
      <c r="O335" s="6" t="s">
        <v>620</v>
      </c>
      <c r="P335" s="224" t="s">
        <v>3885</v>
      </c>
      <c r="Q335" s="31" t="n">
        <f aca="false">Calib!H13</f>
        <v>1</v>
      </c>
      <c r="R335" s="177" t="n">
        <f aca="false">SRC_PERF_014_MTP</f>
        <v>1</v>
      </c>
      <c r="S335" s="42" t="str">
        <f aca="false">IF(ISNUMBER($AF335),INDEX(IDX_SrcStat,$AF335),"—")</f>
        <v>Active</v>
      </c>
      <c r="T335" s="42" t="n">
        <f aca="false">IF(ISNUMBER($AF335),INDEX(IDX_SrcGrade,$AF335),"—")</f>
        <v>1</v>
      </c>
      <c r="U335" s="42" t="s">
        <v>3919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2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2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4680</v>
      </c>
      <c r="B336" s="224" t="s">
        <v>3880</v>
      </c>
      <c r="C336" s="28" t="s">
        <v>4629</v>
      </c>
      <c r="D336" s="28" t="s">
        <v>4681</v>
      </c>
      <c r="E336" s="19" t="s">
        <v>459</v>
      </c>
      <c r="F336" s="224" t="s">
        <v>332</v>
      </c>
      <c r="G336" s="224" t="s">
        <v>3882</v>
      </c>
      <c r="H336" s="28" t="s">
        <v>4679</v>
      </c>
      <c r="I336" s="19" t="s">
        <v>3917</v>
      </c>
      <c r="J336" s="28" t="s">
        <v>620</v>
      </c>
      <c r="K336" s="224"/>
      <c r="L336" s="224"/>
      <c r="M336" s="28" t="s">
        <v>620</v>
      </c>
      <c r="N336" s="19" t="s">
        <v>4020</v>
      </c>
      <c r="O336" s="6" t="s">
        <v>620</v>
      </c>
      <c r="P336" s="224" t="s">
        <v>1151</v>
      </c>
      <c r="Q336" s="47" t="n">
        <f aca="false">Calib!H14</f>
        <v>110</v>
      </c>
      <c r="R336" s="177" t="n">
        <f aca="false">SRC_PERF_014_Spd</f>
        <v>110</v>
      </c>
      <c r="S336" s="42" t="str">
        <f aca="false">IF(ISNUMBER($AF336),INDEX(IDX_SrcStat,$AF336),"—")</f>
        <v>Active</v>
      </c>
      <c r="T336" s="42" t="n">
        <f aca="false">IF(ISNUMBER($AF336),INDEX(IDX_SrcGrade,$AF336),"—")</f>
        <v>1</v>
      </c>
      <c r="U336" s="42" t="s">
        <v>3919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2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2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4682</v>
      </c>
      <c r="B337" s="224" t="s">
        <v>3880</v>
      </c>
      <c r="C337" s="28" t="s">
        <v>4629</v>
      </c>
      <c r="D337" s="28" t="s">
        <v>4683</v>
      </c>
      <c r="E337" s="6" t="s">
        <v>460</v>
      </c>
      <c r="F337" s="224" t="s">
        <v>332</v>
      </c>
      <c r="G337" s="224" t="s">
        <v>3882</v>
      </c>
      <c r="H337" s="28" t="s">
        <v>4679</v>
      </c>
      <c r="I337" s="19" t="s">
        <v>3917</v>
      </c>
      <c r="J337" s="28" t="s">
        <v>620</v>
      </c>
      <c r="K337" s="224"/>
      <c r="L337" s="224"/>
      <c r="M337" s="28" t="s">
        <v>620</v>
      </c>
      <c r="N337" s="19" t="s">
        <v>4020</v>
      </c>
      <c r="O337" s="6" t="s">
        <v>620</v>
      </c>
      <c r="P337" s="224" t="s">
        <v>1151</v>
      </c>
      <c r="Q337" s="47" t="n">
        <f aca="false">Calib!H15</f>
        <v>8192</v>
      </c>
      <c r="R337" s="177" t="n">
        <f aca="false">SRC_PERF_014_ISL</f>
        <v>8192</v>
      </c>
      <c r="S337" s="42" t="str">
        <f aca="false">IF(ISNUMBER($AF337),INDEX(IDX_SrcStat,$AF337),"—")</f>
        <v>Active</v>
      </c>
      <c r="T337" s="42" t="n">
        <f aca="false">IF(ISNUMBER($AF337),INDEX(IDX_SrcGrade,$AF337),"—")</f>
        <v>1</v>
      </c>
      <c r="U337" s="42" t="s">
        <v>3919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2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2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4684</v>
      </c>
      <c r="B338" s="224" t="s">
        <v>3880</v>
      </c>
      <c r="C338" s="28" t="s">
        <v>4629</v>
      </c>
      <c r="D338" s="28" t="s">
        <v>4685</v>
      </c>
      <c r="E338" s="6" t="s">
        <v>461</v>
      </c>
      <c r="F338" s="224" t="s">
        <v>332</v>
      </c>
      <c r="G338" s="224" t="s">
        <v>3882</v>
      </c>
      <c r="H338" s="28" t="s">
        <v>4679</v>
      </c>
      <c r="I338" s="19" t="s">
        <v>3917</v>
      </c>
      <c r="J338" s="28" t="s">
        <v>620</v>
      </c>
      <c r="K338" s="224"/>
      <c r="L338" s="224"/>
      <c r="M338" s="28" t="s">
        <v>620</v>
      </c>
      <c r="N338" s="19" t="s">
        <v>4020</v>
      </c>
      <c r="O338" s="6" t="s">
        <v>620</v>
      </c>
      <c r="P338" s="224" t="s">
        <v>1151</v>
      </c>
      <c r="Q338" s="47" t="n">
        <f aca="false">Calib!H16</f>
        <v>1024</v>
      </c>
      <c r="R338" s="177" t="n">
        <f aca="false">SRC_PERF_014_OSL</f>
        <v>1024</v>
      </c>
      <c r="S338" s="42" t="str">
        <f aca="false">IF(ISNUMBER($AF338),INDEX(IDX_SrcStat,$AF338),"—")</f>
        <v>Active</v>
      </c>
      <c r="T338" s="42" t="n">
        <f aca="false">IF(ISNUMBER($AF338),INDEX(IDX_SrcGrade,$AF338),"—")</f>
        <v>1</v>
      </c>
      <c r="U338" s="42" t="s">
        <v>3919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2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2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4686</v>
      </c>
      <c r="B339" s="224" t="s">
        <v>3880</v>
      </c>
      <c r="C339" s="28" t="s">
        <v>4629</v>
      </c>
      <c r="D339" s="28" t="s">
        <v>4687</v>
      </c>
      <c r="E339" s="19" t="s">
        <v>4644</v>
      </c>
      <c r="F339" s="224" t="s">
        <v>332</v>
      </c>
      <c r="G339" s="224" t="s">
        <v>3882</v>
      </c>
      <c r="H339" s="28" t="s">
        <v>4679</v>
      </c>
      <c r="I339" s="19" t="s">
        <v>3917</v>
      </c>
      <c r="J339" s="28" t="s">
        <v>620</v>
      </c>
      <c r="K339" s="224"/>
      <c r="L339" s="224"/>
      <c r="M339" s="28" t="s">
        <v>620</v>
      </c>
      <c r="N339" s="19" t="s">
        <v>4020</v>
      </c>
      <c r="O339" s="6" t="s">
        <v>620</v>
      </c>
      <c r="P339" s="224" t="s">
        <v>1151</v>
      </c>
      <c r="Q339" s="47" t="n">
        <f aca="false">Calib!H17</f>
        <v>3795.5</v>
      </c>
      <c r="R339" s="177" t="n">
        <f aca="false">SRC_PERF_014</f>
        <v>3795.5</v>
      </c>
      <c r="S339" s="42" t="str">
        <f aca="false">IF(ISNUMBER($AF339),INDEX(IDX_SrcStat,$AF339),"—")</f>
        <v>Active</v>
      </c>
      <c r="T339" s="42" t="n">
        <f aca="false">IF(ISNUMBER($AF339),INDEX(IDX_SrcGrade,$AF339),"—")</f>
        <v>1</v>
      </c>
      <c r="U339" s="42" t="s">
        <v>3919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2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2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4688</v>
      </c>
      <c r="B340" s="224" t="s">
        <v>3880</v>
      </c>
      <c r="C340" s="28" t="s">
        <v>4629</v>
      </c>
      <c r="D340" s="28" t="s">
        <v>4689</v>
      </c>
      <c r="E340" s="6" t="s">
        <v>458</v>
      </c>
      <c r="F340" s="224" t="s">
        <v>332</v>
      </c>
      <c r="G340" s="224" t="s">
        <v>3882</v>
      </c>
      <c r="H340" s="28" t="s">
        <v>4690</v>
      </c>
      <c r="I340" s="19" t="s">
        <v>3917</v>
      </c>
      <c r="J340" s="28" t="s">
        <v>620</v>
      </c>
      <c r="K340" s="224"/>
      <c r="L340" s="224"/>
      <c r="M340" s="28" t="s">
        <v>620</v>
      </c>
      <c r="N340" s="19" t="s">
        <v>4020</v>
      </c>
      <c r="O340" s="6" t="s">
        <v>620</v>
      </c>
      <c r="P340" s="224" t="s">
        <v>3885</v>
      </c>
      <c r="Q340" s="31" t="n">
        <f aca="false">Calib!I13</f>
        <v>1</v>
      </c>
      <c r="R340" s="177" t="n">
        <f aca="false">SRC_PERF_015_MTP</f>
        <v>1</v>
      </c>
      <c r="S340" s="42" t="str">
        <f aca="false">IF(ISNUMBER($AF340),INDEX(IDX_SrcStat,$AF340),"—")</f>
        <v>Active</v>
      </c>
      <c r="T340" s="42" t="n">
        <f aca="false">IF(ISNUMBER($AF340),INDEX(IDX_SrcGrade,$AF340),"—")</f>
        <v>1</v>
      </c>
      <c r="U340" s="42" t="s">
        <v>3919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2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2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4691</v>
      </c>
      <c r="B341" s="224" t="s">
        <v>3880</v>
      </c>
      <c r="C341" s="28" t="s">
        <v>4629</v>
      </c>
      <c r="D341" s="28" t="s">
        <v>4692</v>
      </c>
      <c r="E341" s="19" t="s">
        <v>459</v>
      </c>
      <c r="F341" s="224" t="s">
        <v>332</v>
      </c>
      <c r="G341" s="224" t="s">
        <v>3882</v>
      </c>
      <c r="H341" s="28" t="s">
        <v>4690</v>
      </c>
      <c r="I341" s="19" t="s">
        <v>3917</v>
      </c>
      <c r="J341" s="28" t="s">
        <v>620</v>
      </c>
      <c r="K341" s="224"/>
      <c r="L341" s="224"/>
      <c r="M341" s="28" t="s">
        <v>620</v>
      </c>
      <c r="N341" s="19" t="s">
        <v>4020</v>
      </c>
      <c r="O341" s="6" t="s">
        <v>620</v>
      </c>
      <c r="P341" s="224" t="s">
        <v>1151</v>
      </c>
      <c r="Q341" s="47" t="n">
        <f aca="false">Calib!I14</f>
        <v>110</v>
      </c>
      <c r="R341" s="177" t="n">
        <f aca="false">SRC_PERF_015_Spd</f>
        <v>110</v>
      </c>
      <c r="S341" s="42" t="str">
        <f aca="false">IF(ISNUMBER($AF341),INDEX(IDX_SrcStat,$AF341),"—")</f>
        <v>Active</v>
      </c>
      <c r="T341" s="42" t="n">
        <f aca="false">IF(ISNUMBER($AF341),INDEX(IDX_SrcGrade,$AF341),"—")</f>
        <v>1</v>
      </c>
      <c r="U341" s="42" t="s">
        <v>3919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2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2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4693</v>
      </c>
      <c r="B342" s="224" t="s">
        <v>3880</v>
      </c>
      <c r="C342" s="28" t="s">
        <v>4629</v>
      </c>
      <c r="D342" s="28" t="s">
        <v>4694</v>
      </c>
      <c r="E342" s="6" t="s">
        <v>460</v>
      </c>
      <c r="F342" s="224" t="s">
        <v>332</v>
      </c>
      <c r="G342" s="224" t="s">
        <v>3882</v>
      </c>
      <c r="H342" s="28" t="s">
        <v>4690</v>
      </c>
      <c r="I342" s="19" t="s">
        <v>3917</v>
      </c>
      <c r="J342" s="28" t="s">
        <v>620</v>
      </c>
      <c r="K342" s="224"/>
      <c r="L342" s="224"/>
      <c r="M342" s="28" t="s">
        <v>620</v>
      </c>
      <c r="N342" s="19" t="s">
        <v>4020</v>
      </c>
      <c r="O342" s="6" t="s">
        <v>620</v>
      </c>
      <c r="P342" s="224" t="s">
        <v>1151</v>
      </c>
      <c r="Q342" s="47" t="n">
        <f aca="false">Calib!I15</f>
        <v>8192</v>
      </c>
      <c r="R342" s="177" t="n">
        <f aca="false">SRC_PERF_015_ISL</f>
        <v>8192</v>
      </c>
      <c r="S342" s="42" t="str">
        <f aca="false">IF(ISNUMBER($AF342),INDEX(IDX_SrcStat,$AF342),"—")</f>
        <v>Active</v>
      </c>
      <c r="T342" s="42" t="n">
        <f aca="false">IF(ISNUMBER($AF342),INDEX(IDX_SrcGrade,$AF342),"—")</f>
        <v>1</v>
      </c>
      <c r="U342" s="42" t="s">
        <v>3919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2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2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4695</v>
      </c>
      <c r="B343" s="224" t="s">
        <v>3880</v>
      </c>
      <c r="C343" s="28" t="s">
        <v>4629</v>
      </c>
      <c r="D343" s="28" t="s">
        <v>4696</v>
      </c>
      <c r="E343" s="6" t="s">
        <v>461</v>
      </c>
      <c r="F343" s="224" t="s">
        <v>332</v>
      </c>
      <c r="G343" s="224" t="s">
        <v>3882</v>
      </c>
      <c r="H343" s="28" t="s">
        <v>4690</v>
      </c>
      <c r="I343" s="19" t="s">
        <v>3917</v>
      </c>
      <c r="J343" s="28" t="s">
        <v>620</v>
      </c>
      <c r="K343" s="224"/>
      <c r="L343" s="224"/>
      <c r="M343" s="28" t="s">
        <v>620</v>
      </c>
      <c r="N343" s="19" t="s">
        <v>4020</v>
      </c>
      <c r="O343" s="6" t="s">
        <v>620</v>
      </c>
      <c r="P343" s="224" t="s">
        <v>1151</v>
      </c>
      <c r="Q343" s="47" t="n">
        <f aca="false">Calib!I16</f>
        <v>1024</v>
      </c>
      <c r="R343" s="177" t="n">
        <f aca="false">SRC_PERF_015_OSL</f>
        <v>1024</v>
      </c>
      <c r="S343" s="42" t="str">
        <f aca="false">IF(ISNUMBER($AF343),INDEX(IDX_SrcStat,$AF343),"—")</f>
        <v>Active</v>
      </c>
      <c r="T343" s="42" t="n">
        <f aca="false">IF(ISNUMBER($AF343),INDEX(IDX_SrcGrade,$AF343),"—")</f>
        <v>1</v>
      </c>
      <c r="U343" s="42" t="s">
        <v>3919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2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2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4697</v>
      </c>
      <c r="B344" s="224" t="s">
        <v>3880</v>
      </c>
      <c r="C344" s="28" t="s">
        <v>4629</v>
      </c>
      <c r="D344" s="28" t="s">
        <v>4698</v>
      </c>
      <c r="E344" s="19" t="s">
        <v>4644</v>
      </c>
      <c r="F344" s="224" t="s">
        <v>332</v>
      </c>
      <c r="G344" s="224" t="s">
        <v>3882</v>
      </c>
      <c r="H344" s="28" t="s">
        <v>4690</v>
      </c>
      <c r="I344" s="19" t="s">
        <v>3917</v>
      </c>
      <c r="J344" s="28" t="s">
        <v>620</v>
      </c>
      <c r="K344" s="224"/>
      <c r="L344" s="224"/>
      <c r="M344" s="28" t="s">
        <v>620</v>
      </c>
      <c r="N344" s="19" t="s">
        <v>4020</v>
      </c>
      <c r="O344" s="6" t="s">
        <v>620</v>
      </c>
      <c r="P344" s="224" t="s">
        <v>1151</v>
      </c>
      <c r="Q344" s="47" t="n">
        <f aca="false">Calib!I17</f>
        <v>6522.4</v>
      </c>
      <c r="R344" s="177" t="n">
        <f aca="false">SRC_PERF_015</f>
        <v>6522.4</v>
      </c>
      <c r="S344" s="42" t="str">
        <f aca="false">IF(ISNUMBER($AF344),INDEX(IDX_SrcStat,$AF344),"—")</f>
        <v>Active</v>
      </c>
      <c r="T344" s="42" t="n">
        <f aca="false">IF(ISNUMBER($AF344),INDEX(IDX_SrcGrade,$AF344),"—")</f>
        <v>1</v>
      </c>
      <c r="U344" s="42" t="s">
        <v>3919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2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2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4699</v>
      </c>
      <c r="B345" s="224" t="s">
        <v>3880</v>
      </c>
      <c r="C345" s="28" t="s">
        <v>4629</v>
      </c>
      <c r="D345" s="28" t="s">
        <v>4700</v>
      </c>
      <c r="E345" s="6" t="s">
        <v>518</v>
      </c>
      <c r="F345" s="28" t="s">
        <v>147</v>
      </c>
      <c r="G345" s="224" t="s">
        <v>3882</v>
      </c>
      <c r="H345" s="28" t="s">
        <v>4701</v>
      </c>
      <c r="I345" s="19" t="s">
        <v>4702</v>
      </c>
      <c r="J345" s="28" t="s">
        <v>620</v>
      </c>
      <c r="K345" s="226" t="n">
        <v>0.8</v>
      </c>
      <c r="L345" s="226" t="n">
        <v>1.6</v>
      </c>
      <c r="M345" s="28" t="s">
        <v>4703</v>
      </c>
      <c r="N345" s="225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620</v>
      </c>
      <c r="P345" s="224" t="s">
        <v>1151</v>
      </c>
      <c r="Q345" s="185" t="n">
        <f aca="false">Calib!C67</f>
        <v>1.2</v>
      </c>
      <c r="R345" s="177" t="n">
        <f aca="false">SRC_PERF_042</f>
        <v>14800</v>
      </c>
      <c r="S345" s="42" t="str">
        <f aca="false">IF(ISNUMBER($AF345),INDEX(IDX_SrcStat,$AF345),"—")</f>
        <v>Active</v>
      </c>
      <c r="T345" s="42" t="n">
        <f aca="false">IF(ISNUMBER($AF345),INDEX(IDX_SrcGrade,$AF345),"—")</f>
        <v>1</v>
      </c>
      <c r="U345" s="42" t="s">
        <v>3886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2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2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4704</v>
      </c>
      <c r="B346" s="224" t="s">
        <v>3880</v>
      </c>
      <c r="C346" s="28" t="s">
        <v>4629</v>
      </c>
      <c r="D346" s="28" t="s">
        <v>4705</v>
      </c>
      <c r="E346" s="6" t="s">
        <v>518</v>
      </c>
      <c r="F346" s="28" t="s">
        <v>104</v>
      </c>
      <c r="G346" s="224" t="s">
        <v>3882</v>
      </c>
      <c r="H346" s="28" t="s">
        <v>4639</v>
      </c>
      <c r="I346" s="19" t="s">
        <v>4706</v>
      </c>
      <c r="J346" s="28" t="s">
        <v>620</v>
      </c>
      <c r="K346" s="226" t="n">
        <v>0.5</v>
      </c>
      <c r="L346" s="226" t="n">
        <v>1.5</v>
      </c>
      <c r="M346" s="28" t="s">
        <v>4707</v>
      </c>
      <c r="N346" s="19" t="s">
        <v>4708</v>
      </c>
      <c r="O346" s="6" t="s">
        <v>620</v>
      </c>
      <c r="P346" s="224" t="s">
        <v>1151</v>
      </c>
      <c r="Q346" s="185" t="n">
        <f aca="false">Calib!D67</f>
        <v>1</v>
      </c>
      <c r="R346" s="177" t="n">
        <f aca="false">SRC_PERF_009</f>
        <v>9342.1</v>
      </c>
      <c r="S346" s="42" t="str">
        <f aca="false">IF(ISNUMBER($AF346),INDEX(IDX_SrcStat,$AF346),"—")</f>
        <v>Active</v>
      </c>
      <c r="T346" s="42" t="n">
        <f aca="false">IF(ISNUMBER($AF346),INDEX(IDX_SrcGrade,$AF346),"—")</f>
        <v>2</v>
      </c>
      <c r="U346" s="42" t="s">
        <v>3886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2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2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4709</v>
      </c>
      <c r="B347" s="224" t="s">
        <v>3880</v>
      </c>
      <c r="C347" s="28" t="s">
        <v>4629</v>
      </c>
      <c r="D347" s="28" t="s">
        <v>4710</v>
      </c>
      <c r="E347" s="6" t="s">
        <v>518</v>
      </c>
      <c r="F347" s="28" t="s">
        <v>104</v>
      </c>
      <c r="G347" s="224" t="s">
        <v>3882</v>
      </c>
      <c r="H347" s="28" t="s">
        <v>4639</v>
      </c>
      <c r="I347" s="19" t="s">
        <v>4706</v>
      </c>
      <c r="J347" s="28" t="s">
        <v>620</v>
      </c>
      <c r="K347" s="226" t="n">
        <v>0.5</v>
      </c>
      <c r="L347" s="226" t="n">
        <v>1.5</v>
      </c>
      <c r="M347" s="28" t="s">
        <v>4707</v>
      </c>
      <c r="N347" s="19" t="s">
        <v>4708</v>
      </c>
      <c r="O347" s="6" t="s">
        <v>620</v>
      </c>
      <c r="P347" s="224" t="s">
        <v>1151</v>
      </c>
      <c r="Q347" s="185" t="n">
        <f aca="false">Calib!E67</f>
        <v>1</v>
      </c>
      <c r="R347" s="177" t="n">
        <f aca="false">SRC_PERF_009</f>
        <v>9342.1</v>
      </c>
      <c r="S347" s="42" t="str">
        <f aca="false">IF(ISNUMBER($AF347),INDEX(IDX_SrcStat,$AF347),"—")</f>
        <v>Active</v>
      </c>
      <c r="T347" s="42" t="n">
        <f aca="false">IF(ISNUMBER($AF347),INDEX(IDX_SrcGrade,$AF347),"—")</f>
        <v>2</v>
      </c>
      <c r="U347" s="42" t="s">
        <v>3886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2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2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4711</v>
      </c>
      <c r="B348" s="224" t="s">
        <v>3880</v>
      </c>
      <c r="C348" s="28" t="s">
        <v>4629</v>
      </c>
      <c r="D348" s="28" t="s">
        <v>4712</v>
      </c>
      <c r="E348" s="6" t="s">
        <v>518</v>
      </c>
      <c r="F348" s="28" t="s">
        <v>104</v>
      </c>
      <c r="G348" s="224" t="s">
        <v>3882</v>
      </c>
      <c r="H348" s="28" t="s">
        <v>4639</v>
      </c>
      <c r="I348" s="19" t="s">
        <v>4706</v>
      </c>
      <c r="J348" s="28" t="s">
        <v>620</v>
      </c>
      <c r="K348" s="226" t="n">
        <v>0.5</v>
      </c>
      <c r="L348" s="226" t="n">
        <v>1.5</v>
      </c>
      <c r="M348" s="28" t="s">
        <v>4707</v>
      </c>
      <c r="N348" s="19" t="s">
        <v>4713</v>
      </c>
      <c r="O348" s="6" t="s">
        <v>620</v>
      </c>
      <c r="P348" s="224" t="s">
        <v>1151</v>
      </c>
      <c r="Q348" s="185" t="n">
        <f aca="false">Calib!F67</f>
        <v>1</v>
      </c>
      <c r="R348" s="177" t="n">
        <f aca="false">SRC_PERF_009</f>
        <v>9342.1</v>
      </c>
      <c r="S348" s="42" t="str">
        <f aca="false">IF(ISNUMBER($AF348),INDEX(IDX_SrcStat,$AF348),"—")</f>
        <v>Active</v>
      </c>
      <c r="T348" s="42" t="n">
        <f aca="false">IF(ISNUMBER($AF348),INDEX(IDX_SrcGrade,$AF348),"—")</f>
        <v>2</v>
      </c>
      <c r="U348" s="42" t="s">
        <v>3886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2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2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4714</v>
      </c>
      <c r="B349" s="224" t="s">
        <v>3880</v>
      </c>
      <c r="C349" s="28" t="s">
        <v>4629</v>
      </c>
      <c r="D349" s="28" t="s">
        <v>4715</v>
      </c>
      <c r="E349" s="6" t="s">
        <v>518</v>
      </c>
      <c r="F349" s="28" t="s">
        <v>104</v>
      </c>
      <c r="G349" s="224" t="s">
        <v>3882</v>
      </c>
      <c r="H349" s="28" t="s">
        <v>4639</v>
      </c>
      <c r="I349" s="19" t="s">
        <v>4706</v>
      </c>
      <c r="J349" s="28" t="s">
        <v>620</v>
      </c>
      <c r="K349" s="226" t="n">
        <v>0.5</v>
      </c>
      <c r="L349" s="226" t="n">
        <v>1.5</v>
      </c>
      <c r="M349" s="28" t="s">
        <v>4707</v>
      </c>
      <c r="N349" s="19" t="s">
        <v>4708</v>
      </c>
      <c r="O349" s="6" t="s">
        <v>620</v>
      </c>
      <c r="P349" s="224" t="s">
        <v>1151</v>
      </c>
      <c r="Q349" s="185" t="n">
        <f aca="false">Calib!G67</f>
        <v>1</v>
      </c>
      <c r="R349" s="177" t="n">
        <f aca="false">SRC_PERF_009</f>
        <v>9342.1</v>
      </c>
      <c r="S349" s="42" t="str">
        <f aca="false">IF(ISNUMBER($AF349),INDEX(IDX_SrcStat,$AF349),"—")</f>
        <v>Active</v>
      </c>
      <c r="T349" s="42" t="n">
        <f aca="false">IF(ISNUMBER($AF349),INDEX(IDX_SrcGrade,$AF349),"—")</f>
        <v>2</v>
      </c>
      <c r="U349" s="42" t="s">
        <v>3886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2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2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4716</v>
      </c>
      <c r="B350" s="224" t="s">
        <v>3880</v>
      </c>
      <c r="C350" s="28" t="s">
        <v>4629</v>
      </c>
      <c r="D350" s="28" t="s">
        <v>4717</v>
      </c>
      <c r="E350" s="19" t="s">
        <v>520</v>
      </c>
      <c r="F350" s="28" t="s">
        <v>100</v>
      </c>
      <c r="G350" s="224" t="s">
        <v>3882</v>
      </c>
      <c r="H350" s="28" t="s">
        <v>620</v>
      </c>
      <c r="I350" s="6" t="s">
        <v>620</v>
      </c>
      <c r="J350" s="28" t="s">
        <v>620</v>
      </c>
      <c r="K350" s="226" t="n">
        <v>1</v>
      </c>
      <c r="L350" s="226" t="n">
        <v>3</v>
      </c>
      <c r="M350" s="28" t="s">
        <v>4718</v>
      </c>
      <c r="N350" s="225" t="str">
        <f aca="false">Calib!$J$68</f>
        <v>Hopper EP 跨節點走 IB [Assumed 1.5，區間 1–3]</v>
      </c>
      <c r="O350" s="6" t="s">
        <v>620</v>
      </c>
      <c r="P350" s="224" t="s">
        <v>1151</v>
      </c>
      <c r="Q350" s="185" t="n">
        <f aca="false">Calib!C68</f>
        <v>1.5</v>
      </c>
      <c r="R350" s="28" t="s">
        <v>620</v>
      </c>
      <c r="S350" s="42" t="str">
        <f aca="false">IF(ISNUMBER($AF350),INDEX(IDX_SrcStat,$AF350),"—")</f>
        <v>—</v>
      </c>
      <c r="T350" s="42" t="str">
        <f aca="false">IF(ISNUMBER($AF350),INDEX(IDX_SrcGrade,$AF350),"—")</f>
        <v>—</v>
      </c>
      <c r="U350" s="42" t="s">
        <v>3886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2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2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4719</v>
      </c>
      <c r="B351" s="224" t="s">
        <v>3880</v>
      </c>
      <c r="C351" s="28" t="s">
        <v>4629</v>
      </c>
      <c r="D351" s="28" t="s">
        <v>4720</v>
      </c>
      <c r="E351" s="19" t="s">
        <v>520</v>
      </c>
      <c r="F351" s="28" t="s">
        <v>100</v>
      </c>
      <c r="G351" s="224" t="s">
        <v>3882</v>
      </c>
      <c r="H351" s="28" t="s">
        <v>620</v>
      </c>
      <c r="I351" s="6" t="s">
        <v>620</v>
      </c>
      <c r="J351" s="28" t="s">
        <v>620</v>
      </c>
      <c r="K351" s="226" t="n">
        <v>1</v>
      </c>
      <c r="L351" s="226" t="n">
        <v>1.5</v>
      </c>
      <c r="M351" s="28" t="s">
        <v>4721</v>
      </c>
      <c r="N351" s="19" t="s">
        <v>4722</v>
      </c>
      <c r="O351" s="6" t="s">
        <v>620</v>
      </c>
      <c r="P351" s="224" t="s">
        <v>1151</v>
      </c>
      <c r="Q351" s="185" t="n">
        <f aca="false">Calib!D68</f>
        <v>1</v>
      </c>
      <c r="R351" s="28" t="s">
        <v>620</v>
      </c>
      <c r="S351" s="42" t="str">
        <f aca="false">IF(ISNUMBER($AF351),INDEX(IDX_SrcStat,$AF351),"—")</f>
        <v>—</v>
      </c>
      <c r="T351" s="42" t="str">
        <f aca="false">IF(ISNUMBER($AF351),INDEX(IDX_SrcGrade,$AF351),"—")</f>
        <v>—</v>
      </c>
      <c r="U351" s="42" t="s">
        <v>3886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2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2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4723</v>
      </c>
      <c r="B352" s="224" t="s">
        <v>3880</v>
      </c>
      <c r="C352" s="28" t="s">
        <v>4629</v>
      </c>
      <c r="D352" s="28" t="s">
        <v>4724</v>
      </c>
      <c r="E352" s="19" t="s">
        <v>520</v>
      </c>
      <c r="F352" s="28" t="s">
        <v>100</v>
      </c>
      <c r="G352" s="224" t="s">
        <v>3882</v>
      </c>
      <c r="H352" s="28" t="s">
        <v>620</v>
      </c>
      <c r="I352" s="6" t="s">
        <v>620</v>
      </c>
      <c r="J352" s="28" t="s">
        <v>620</v>
      </c>
      <c r="K352" s="226" t="n">
        <v>1</v>
      </c>
      <c r="L352" s="226" t="n">
        <v>1.5</v>
      </c>
      <c r="M352" s="28" t="s">
        <v>4721</v>
      </c>
      <c r="N352" s="19" t="s">
        <v>4722</v>
      </c>
      <c r="O352" s="6" t="s">
        <v>620</v>
      </c>
      <c r="P352" s="224" t="s">
        <v>1151</v>
      </c>
      <c r="Q352" s="185" t="n">
        <f aca="false">Calib!E68</f>
        <v>1</v>
      </c>
      <c r="R352" s="28" t="s">
        <v>620</v>
      </c>
      <c r="S352" s="42" t="str">
        <f aca="false">IF(ISNUMBER($AF352),INDEX(IDX_SrcStat,$AF352),"—")</f>
        <v>—</v>
      </c>
      <c r="T352" s="42" t="str">
        <f aca="false">IF(ISNUMBER($AF352),INDEX(IDX_SrcGrade,$AF352),"—")</f>
        <v>—</v>
      </c>
      <c r="U352" s="42" t="s">
        <v>3886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2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2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4725</v>
      </c>
      <c r="B353" s="224" t="s">
        <v>3880</v>
      </c>
      <c r="C353" s="28" t="s">
        <v>4629</v>
      </c>
      <c r="D353" s="28" t="s">
        <v>4726</v>
      </c>
      <c r="E353" s="19" t="s">
        <v>520</v>
      </c>
      <c r="F353" s="28" t="s">
        <v>100</v>
      </c>
      <c r="G353" s="224" t="s">
        <v>3882</v>
      </c>
      <c r="H353" s="28" t="s">
        <v>620</v>
      </c>
      <c r="I353" s="6" t="s">
        <v>620</v>
      </c>
      <c r="J353" s="28" t="s">
        <v>620</v>
      </c>
      <c r="K353" s="226" t="n">
        <v>1</v>
      </c>
      <c r="L353" s="226" t="n">
        <v>1.5</v>
      </c>
      <c r="M353" s="28" t="s">
        <v>4721</v>
      </c>
      <c r="N353" s="19" t="s">
        <v>4722</v>
      </c>
      <c r="O353" s="6" t="s">
        <v>620</v>
      </c>
      <c r="P353" s="224" t="s">
        <v>1151</v>
      </c>
      <c r="Q353" s="185" t="n">
        <f aca="false">Calib!F68</f>
        <v>1</v>
      </c>
      <c r="R353" s="28" t="s">
        <v>620</v>
      </c>
      <c r="S353" s="42" t="str">
        <f aca="false">IF(ISNUMBER($AF353),INDEX(IDX_SrcStat,$AF353),"—")</f>
        <v>—</v>
      </c>
      <c r="T353" s="42" t="str">
        <f aca="false">IF(ISNUMBER($AF353),INDEX(IDX_SrcGrade,$AF353),"—")</f>
        <v>—</v>
      </c>
      <c r="U353" s="42" t="s">
        <v>3886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2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2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4727</v>
      </c>
      <c r="B354" s="224" t="s">
        <v>3880</v>
      </c>
      <c r="C354" s="28" t="s">
        <v>4629</v>
      </c>
      <c r="D354" s="28" t="s">
        <v>4728</v>
      </c>
      <c r="E354" s="19" t="s">
        <v>520</v>
      </c>
      <c r="F354" s="28" t="s">
        <v>100</v>
      </c>
      <c r="G354" s="224" t="s">
        <v>3882</v>
      </c>
      <c r="H354" s="28" t="s">
        <v>620</v>
      </c>
      <c r="I354" s="6" t="s">
        <v>620</v>
      </c>
      <c r="J354" s="28" t="s">
        <v>620</v>
      </c>
      <c r="K354" s="226" t="n">
        <v>1</v>
      </c>
      <c r="L354" s="226" t="n">
        <v>1.5</v>
      </c>
      <c r="M354" s="28" t="s">
        <v>4721</v>
      </c>
      <c r="N354" s="19" t="s">
        <v>4722</v>
      </c>
      <c r="O354" s="6" t="s">
        <v>620</v>
      </c>
      <c r="P354" s="224" t="s">
        <v>1151</v>
      </c>
      <c r="Q354" s="185" t="n">
        <f aca="false">Calib!G68</f>
        <v>1</v>
      </c>
      <c r="R354" s="28" t="s">
        <v>620</v>
      </c>
      <c r="S354" s="42" t="str">
        <f aca="false">IF(ISNUMBER($AF354),INDEX(IDX_SrcStat,$AF354),"—")</f>
        <v>—</v>
      </c>
      <c r="T354" s="42" t="str">
        <f aca="false">IF(ISNUMBER($AF354),INDEX(IDX_SrcGrade,$AF354),"—")</f>
        <v>—</v>
      </c>
      <c r="U354" s="42" t="s">
        <v>3886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2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2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4729</v>
      </c>
      <c r="B355" s="224" t="s">
        <v>3880</v>
      </c>
      <c r="C355" s="28" t="s">
        <v>4629</v>
      </c>
      <c r="D355" s="28" t="s">
        <v>4730</v>
      </c>
      <c r="E355" s="6" t="s">
        <v>522</v>
      </c>
      <c r="F355" s="28" t="s">
        <v>3974</v>
      </c>
      <c r="G355" s="224" t="s">
        <v>3882</v>
      </c>
      <c r="H355" s="28" t="s">
        <v>620</v>
      </c>
      <c r="I355" s="19" t="s">
        <v>4731</v>
      </c>
      <c r="J355" s="28" t="s">
        <v>620</v>
      </c>
      <c r="K355" s="226"/>
      <c r="L355" s="226"/>
      <c r="M355" s="28" t="s">
        <v>620</v>
      </c>
      <c r="N355" s="230" t="s">
        <v>4732</v>
      </c>
      <c r="O355" s="6" t="s">
        <v>4733</v>
      </c>
      <c r="P355" s="224" t="s">
        <v>3941</v>
      </c>
      <c r="Q355" s="185" t="n">
        <f aca="false">Calib!C69</f>
        <v>0.499747347145023</v>
      </c>
      <c r="R355" s="28" t="s">
        <v>620</v>
      </c>
      <c r="S355" s="42" t="str">
        <f aca="false">IF(ISNUMBER($AF355),INDEX(IDX_SrcStat,$AF355),"—")</f>
        <v>—</v>
      </c>
      <c r="T355" s="42" t="str">
        <f aca="false">IF(ISNUMBER($AF355),INDEX(IDX_SrcGrade,$AF355),"—")</f>
        <v>—</v>
      </c>
      <c r="U355" s="42" t="s">
        <v>3919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2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2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4734</v>
      </c>
      <c r="B356" s="224" t="s">
        <v>3880</v>
      </c>
      <c r="C356" s="28" t="s">
        <v>4629</v>
      </c>
      <c r="D356" s="28" t="s">
        <v>4735</v>
      </c>
      <c r="E356" s="6" t="s">
        <v>522</v>
      </c>
      <c r="F356" s="28" t="s">
        <v>100</v>
      </c>
      <c r="G356" s="224" t="s">
        <v>3882</v>
      </c>
      <c r="H356" s="28" t="s">
        <v>620</v>
      </c>
      <c r="I356" s="6" t="s">
        <v>620</v>
      </c>
      <c r="J356" s="28" t="s">
        <v>620</v>
      </c>
      <c r="K356" s="226" t="n">
        <v>0.5</v>
      </c>
      <c r="L356" s="226" t="n">
        <v>1.5</v>
      </c>
      <c r="M356" s="28" t="s">
        <v>4736</v>
      </c>
      <c r="N356" s="6" t="s">
        <v>4737</v>
      </c>
      <c r="O356" s="6" t="s">
        <v>620</v>
      </c>
      <c r="P356" s="224" t="s">
        <v>3941</v>
      </c>
      <c r="Q356" s="185" t="n">
        <f aca="false">Calib!D69</f>
        <v>1</v>
      </c>
      <c r="R356" s="28" t="s">
        <v>620</v>
      </c>
      <c r="S356" s="42" t="str">
        <f aca="false">IF(ISNUMBER($AF356),INDEX(IDX_SrcStat,$AF356),"—")</f>
        <v>—</v>
      </c>
      <c r="T356" s="42" t="str">
        <f aca="false">IF(ISNUMBER($AF356),INDEX(IDX_SrcGrade,$AF356),"—")</f>
        <v>—</v>
      </c>
      <c r="U356" s="42" t="s">
        <v>3886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2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2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4738</v>
      </c>
      <c r="B357" s="224" t="s">
        <v>3880</v>
      </c>
      <c r="C357" s="28" t="s">
        <v>4629</v>
      </c>
      <c r="D357" s="28" t="s">
        <v>4739</v>
      </c>
      <c r="E357" s="6" t="s">
        <v>522</v>
      </c>
      <c r="F357" s="28" t="s">
        <v>100</v>
      </c>
      <c r="G357" s="224" t="s">
        <v>3882</v>
      </c>
      <c r="H357" s="28" t="s">
        <v>620</v>
      </c>
      <c r="I357" s="6" t="s">
        <v>620</v>
      </c>
      <c r="J357" s="28" t="s">
        <v>620</v>
      </c>
      <c r="K357" s="226" t="n">
        <v>0.5</v>
      </c>
      <c r="L357" s="226" t="n">
        <v>1.5</v>
      </c>
      <c r="M357" s="28" t="s">
        <v>4736</v>
      </c>
      <c r="N357" s="6" t="s">
        <v>4737</v>
      </c>
      <c r="O357" s="6" t="s">
        <v>620</v>
      </c>
      <c r="P357" s="224" t="s">
        <v>3941</v>
      </c>
      <c r="Q357" s="185" t="n">
        <f aca="false">Calib!E69</f>
        <v>1</v>
      </c>
      <c r="R357" s="28" t="s">
        <v>620</v>
      </c>
      <c r="S357" s="42" t="str">
        <f aca="false">IF(ISNUMBER($AF357),INDEX(IDX_SrcStat,$AF357),"—")</f>
        <v>—</v>
      </c>
      <c r="T357" s="42" t="str">
        <f aca="false">IF(ISNUMBER($AF357),INDEX(IDX_SrcGrade,$AF357),"—")</f>
        <v>—</v>
      </c>
      <c r="U357" s="42" t="s">
        <v>3886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2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2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4740</v>
      </c>
      <c r="B358" s="224" t="s">
        <v>3880</v>
      </c>
      <c r="C358" s="28" t="s">
        <v>4629</v>
      </c>
      <c r="D358" s="28" t="s">
        <v>4741</v>
      </c>
      <c r="E358" s="6" t="s">
        <v>522</v>
      </c>
      <c r="F358" s="28" t="s">
        <v>100</v>
      </c>
      <c r="G358" s="224" t="s">
        <v>3882</v>
      </c>
      <c r="H358" s="28" t="s">
        <v>620</v>
      </c>
      <c r="I358" s="6" t="s">
        <v>620</v>
      </c>
      <c r="J358" s="28" t="s">
        <v>620</v>
      </c>
      <c r="K358" s="226" t="n">
        <v>0.5</v>
      </c>
      <c r="L358" s="226" t="n">
        <v>1.5</v>
      </c>
      <c r="M358" s="28" t="s">
        <v>4736</v>
      </c>
      <c r="N358" s="6" t="s">
        <v>4742</v>
      </c>
      <c r="O358" s="6" t="s">
        <v>620</v>
      </c>
      <c r="P358" s="224" t="s">
        <v>1151</v>
      </c>
      <c r="Q358" s="185" t="n">
        <f aca="false">Calib!F69</f>
        <v>1</v>
      </c>
      <c r="R358" s="28" t="s">
        <v>620</v>
      </c>
      <c r="S358" s="42" t="str">
        <f aca="false">IF(ISNUMBER($AF358),INDEX(IDX_SrcStat,$AF358),"—")</f>
        <v>—</v>
      </c>
      <c r="T358" s="42" t="str">
        <f aca="false">IF(ISNUMBER($AF358),INDEX(IDX_SrcGrade,$AF358),"—")</f>
        <v>—</v>
      </c>
      <c r="U358" s="42" t="s">
        <v>3886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2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2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4743</v>
      </c>
      <c r="B359" s="224" t="s">
        <v>3880</v>
      </c>
      <c r="C359" s="28" t="s">
        <v>4629</v>
      </c>
      <c r="D359" s="28" t="s">
        <v>4744</v>
      </c>
      <c r="E359" s="6" t="s">
        <v>522</v>
      </c>
      <c r="F359" s="28" t="s">
        <v>100</v>
      </c>
      <c r="G359" s="224" t="s">
        <v>3882</v>
      </c>
      <c r="H359" s="28" t="s">
        <v>620</v>
      </c>
      <c r="I359" s="6" t="s">
        <v>620</v>
      </c>
      <c r="J359" s="28" t="s">
        <v>620</v>
      </c>
      <c r="K359" s="226" t="n">
        <v>0.5</v>
      </c>
      <c r="L359" s="226" t="n">
        <v>1.5</v>
      </c>
      <c r="M359" s="28" t="s">
        <v>4736</v>
      </c>
      <c r="N359" s="6" t="s">
        <v>4737</v>
      </c>
      <c r="O359" s="6" t="s">
        <v>620</v>
      </c>
      <c r="P359" s="224" t="s">
        <v>3941</v>
      </c>
      <c r="Q359" s="185" t="n">
        <f aca="false">Calib!G69</f>
        <v>1</v>
      </c>
      <c r="R359" s="28" t="s">
        <v>620</v>
      </c>
      <c r="S359" s="42" t="str">
        <f aca="false">IF(ISNUMBER($AF359),INDEX(IDX_SrcStat,$AF359),"—")</f>
        <v>—</v>
      </c>
      <c r="T359" s="42" t="str">
        <f aca="false">IF(ISNUMBER($AF359),INDEX(IDX_SrcGrade,$AF359),"—")</f>
        <v>—</v>
      </c>
      <c r="U359" s="42" t="s">
        <v>3886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2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2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4745</v>
      </c>
      <c r="B360" s="224" t="s">
        <v>3880</v>
      </c>
      <c r="C360" s="28" t="s">
        <v>4629</v>
      </c>
      <c r="D360" s="28" t="s">
        <v>4746</v>
      </c>
      <c r="E360" s="6" t="s">
        <v>548</v>
      </c>
      <c r="F360" s="224" t="s">
        <v>4747</v>
      </c>
      <c r="G360" s="224" t="s">
        <v>4636</v>
      </c>
      <c r="H360" s="28" t="s">
        <v>620</v>
      </c>
      <c r="I360" s="6" t="s">
        <v>620</v>
      </c>
      <c r="J360" s="28" t="s">
        <v>620</v>
      </c>
      <c r="K360" s="224"/>
      <c r="L360" s="224"/>
      <c r="M360" s="28" t="s">
        <v>620</v>
      </c>
      <c r="N360" s="6" t="s">
        <v>4748</v>
      </c>
      <c r="O360" s="6" t="s">
        <v>620</v>
      </c>
      <c r="P360" s="28" t="s">
        <v>620</v>
      </c>
      <c r="Q360" s="177" t="s">
        <v>620</v>
      </c>
      <c r="R360" s="28" t="s">
        <v>620</v>
      </c>
      <c r="S360" s="42" t="str">
        <f aca="false">IF(ISNUMBER($AF360),INDEX(IDX_SrcStat,$AF360),"—")</f>
        <v>—</v>
      </c>
      <c r="T360" s="42" t="str">
        <f aca="false">IF(ISNUMBER($AF360),INDEX(IDX_SrcGrade,$AF360),"—")</f>
        <v>—</v>
      </c>
      <c r="U360" s="28" t="s">
        <v>620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2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2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4749</v>
      </c>
      <c r="B361" s="224" t="s">
        <v>3880</v>
      </c>
      <c r="C361" s="28" t="s">
        <v>4629</v>
      </c>
      <c r="D361" s="28" t="s">
        <v>4750</v>
      </c>
      <c r="E361" s="19" t="s">
        <v>270</v>
      </c>
      <c r="F361" s="224" t="s">
        <v>332</v>
      </c>
      <c r="G361" s="224" t="s">
        <v>3882</v>
      </c>
      <c r="H361" s="28" t="s">
        <v>4751</v>
      </c>
      <c r="I361" s="19" t="s">
        <v>3917</v>
      </c>
      <c r="J361" s="28" t="s">
        <v>620</v>
      </c>
      <c r="K361" s="224"/>
      <c r="L361" s="224"/>
      <c r="M361" s="28" t="s">
        <v>620</v>
      </c>
      <c r="N361" s="19" t="s">
        <v>4020</v>
      </c>
      <c r="O361" s="6" t="s">
        <v>620</v>
      </c>
      <c r="P361" s="224" t="s">
        <v>3885</v>
      </c>
      <c r="Q361" s="47" t="n">
        <f aca="false">Calib!C100</f>
        <v>671</v>
      </c>
      <c r="R361" s="177" t="n">
        <f aca="false">SRC_MOD_020</f>
        <v>671</v>
      </c>
      <c r="S361" s="42" t="str">
        <f aca="false">IF(ISNUMBER($AF361),INDEX(IDX_SrcStat,$AF361),"—")</f>
        <v>Active</v>
      </c>
      <c r="T361" s="42" t="n">
        <f aca="false">IF(ISNUMBER($AF361),INDEX(IDX_SrcGrade,$AF361),"—")</f>
        <v>3</v>
      </c>
      <c r="U361" s="42" t="s">
        <v>3919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2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2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4752</v>
      </c>
      <c r="B362" s="224" t="s">
        <v>3880</v>
      </c>
      <c r="C362" s="28" t="s">
        <v>4629</v>
      </c>
      <c r="D362" s="28" t="s">
        <v>4753</v>
      </c>
      <c r="E362" s="19" t="s">
        <v>274</v>
      </c>
      <c r="F362" s="224" t="s">
        <v>332</v>
      </c>
      <c r="G362" s="224" t="s">
        <v>3882</v>
      </c>
      <c r="H362" s="28" t="s">
        <v>4754</v>
      </c>
      <c r="I362" s="19" t="s">
        <v>3917</v>
      </c>
      <c r="J362" s="28" t="s">
        <v>620</v>
      </c>
      <c r="K362" s="224"/>
      <c r="L362" s="224"/>
      <c r="M362" s="28" t="s">
        <v>620</v>
      </c>
      <c r="N362" s="19" t="s">
        <v>4020</v>
      </c>
      <c r="O362" s="6" t="s">
        <v>620</v>
      </c>
      <c r="P362" s="224" t="s">
        <v>3885</v>
      </c>
      <c r="Q362" s="47" t="n">
        <f aca="false">Calib!C101</f>
        <v>37</v>
      </c>
      <c r="R362" s="177" t="n">
        <f aca="false">SRC_MOD_021</f>
        <v>37</v>
      </c>
      <c r="S362" s="42" t="str">
        <f aca="false">IF(ISNUMBER($AF362),INDEX(IDX_SrcStat,$AF362),"—")</f>
        <v>Active</v>
      </c>
      <c r="T362" s="42" t="n">
        <f aca="false">IF(ISNUMBER($AF362),INDEX(IDX_SrcGrade,$AF362),"—")</f>
        <v>3</v>
      </c>
      <c r="U362" s="42" t="s">
        <v>3919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2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2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4755</v>
      </c>
      <c r="B363" s="224" t="s">
        <v>3880</v>
      </c>
      <c r="C363" s="28" t="s">
        <v>4629</v>
      </c>
      <c r="D363" s="28" t="s">
        <v>4756</v>
      </c>
      <c r="E363" s="19" t="s">
        <v>276</v>
      </c>
      <c r="F363" s="224" t="s">
        <v>332</v>
      </c>
      <c r="G363" s="224" t="s">
        <v>3882</v>
      </c>
      <c r="H363" s="28" t="s">
        <v>4757</v>
      </c>
      <c r="I363" s="19" t="s">
        <v>3917</v>
      </c>
      <c r="J363" s="28" t="s">
        <v>620</v>
      </c>
      <c r="K363" s="224"/>
      <c r="L363" s="224"/>
      <c r="M363" s="28" t="s">
        <v>620</v>
      </c>
      <c r="N363" s="19" t="s">
        <v>4020</v>
      </c>
      <c r="O363" s="6" t="s">
        <v>620</v>
      </c>
      <c r="P363" s="224" t="s">
        <v>3885</v>
      </c>
      <c r="Q363" s="47" t="n">
        <f aca="false">Calib!C102</f>
        <v>61</v>
      </c>
      <c r="R363" s="177" t="n">
        <f aca="false">SRC_MOD_022</f>
        <v>61</v>
      </c>
      <c r="S363" s="42" t="str">
        <f aca="false">IF(ISNUMBER($AF363),INDEX(IDX_SrcStat,$AF363),"—")</f>
        <v>Active</v>
      </c>
      <c r="T363" s="42" t="n">
        <f aca="false">IF(ISNUMBER($AF363),INDEX(IDX_SrcGrade,$AF363),"—")</f>
        <v>3</v>
      </c>
      <c r="U363" s="42" t="s">
        <v>3919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2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2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4758</v>
      </c>
      <c r="B364" s="224" t="s">
        <v>3880</v>
      </c>
      <c r="C364" s="28" t="s">
        <v>4629</v>
      </c>
      <c r="D364" s="28" t="s">
        <v>4759</v>
      </c>
      <c r="E364" s="6" t="s">
        <v>279</v>
      </c>
      <c r="F364" s="224" t="s">
        <v>332</v>
      </c>
      <c r="G364" s="224" t="s">
        <v>3882</v>
      </c>
      <c r="H364" s="28" t="s">
        <v>4760</v>
      </c>
      <c r="I364" s="19" t="s">
        <v>3917</v>
      </c>
      <c r="J364" s="28" t="s">
        <v>620</v>
      </c>
      <c r="K364" s="224"/>
      <c r="L364" s="224"/>
      <c r="M364" s="28" t="s">
        <v>620</v>
      </c>
      <c r="N364" s="19" t="s">
        <v>4020</v>
      </c>
      <c r="O364" s="6" t="s">
        <v>620</v>
      </c>
      <c r="P364" s="224" t="s">
        <v>3885</v>
      </c>
      <c r="Q364" s="47" t="n">
        <f aca="false">Calib!C103</f>
        <v>7168</v>
      </c>
      <c r="R364" s="177" t="n">
        <f aca="false">SRC_MOD_023</f>
        <v>7168</v>
      </c>
      <c r="S364" s="42" t="str">
        <f aca="false">IF(ISNUMBER($AF364),INDEX(IDX_SrcStat,$AF364),"—")</f>
        <v>Active</v>
      </c>
      <c r="T364" s="42" t="n">
        <f aca="false">IF(ISNUMBER($AF364),INDEX(IDX_SrcGrade,$AF364),"—")</f>
        <v>3</v>
      </c>
      <c r="U364" s="42" t="s">
        <v>3919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2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2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4761</v>
      </c>
      <c r="B365" s="224" t="s">
        <v>3880</v>
      </c>
      <c r="C365" s="28" t="s">
        <v>4629</v>
      </c>
      <c r="D365" s="28" t="s">
        <v>4762</v>
      </c>
      <c r="E365" s="6" t="s">
        <v>285</v>
      </c>
      <c r="F365" s="224" t="s">
        <v>332</v>
      </c>
      <c r="G365" s="224" t="s">
        <v>3882</v>
      </c>
      <c r="H365" s="28" t="s">
        <v>4763</v>
      </c>
      <c r="I365" s="19" t="s">
        <v>3917</v>
      </c>
      <c r="J365" s="28" t="s">
        <v>620</v>
      </c>
      <c r="K365" s="224"/>
      <c r="L365" s="224"/>
      <c r="M365" s="28" t="s">
        <v>620</v>
      </c>
      <c r="N365" s="19" t="s">
        <v>4020</v>
      </c>
      <c r="O365" s="6" t="s">
        <v>620</v>
      </c>
      <c r="P365" s="224" t="s">
        <v>3885</v>
      </c>
      <c r="Q365" s="47" t="n">
        <f aca="false">Calib!C104</f>
        <v>256</v>
      </c>
      <c r="R365" s="177" t="n">
        <f aca="false">SRC_MOD_024</f>
        <v>256</v>
      </c>
      <c r="S365" s="42" t="str">
        <f aca="false">IF(ISNUMBER($AF365),INDEX(IDX_SrcStat,$AF365),"—")</f>
        <v>Active</v>
      </c>
      <c r="T365" s="42" t="n">
        <f aca="false">IF(ISNUMBER($AF365),INDEX(IDX_SrcGrade,$AF365),"—")</f>
        <v>3</v>
      </c>
      <c r="U365" s="42" t="s">
        <v>3919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2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2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4764</v>
      </c>
      <c r="B366" s="224" t="s">
        <v>3880</v>
      </c>
      <c r="C366" s="28" t="s">
        <v>4629</v>
      </c>
      <c r="D366" s="28" t="s">
        <v>4765</v>
      </c>
      <c r="E366" s="19" t="s">
        <v>4766</v>
      </c>
      <c r="F366" s="224" t="s">
        <v>332</v>
      </c>
      <c r="G366" s="224" t="s">
        <v>3882</v>
      </c>
      <c r="H366" s="28" t="s">
        <v>4767</v>
      </c>
      <c r="I366" s="19" t="s">
        <v>3917</v>
      </c>
      <c r="J366" s="28" t="s">
        <v>620</v>
      </c>
      <c r="K366" s="224"/>
      <c r="L366" s="224"/>
      <c r="M366" s="28" t="s">
        <v>620</v>
      </c>
      <c r="N366" s="19" t="s">
        <v>4020</v>
      </c>
      <c r="O366" s="6" t="s">
        <v>620</v>
      </c>
      <c r="P366" s="224" t="s">
        <v>3885</v>
      </c>
      <c r="Q366" s="47" t="n">
        <f aca="false">Calib!C105</f>
        <v>8</v>
      </c>
      <c r="R366" s="177" t="n">
        <f aca="false">SRC_MOD_025</f>
        <v>8</v>
      </c>
      <c r="S366" s="42" t="str">
        <f aca="false">IF(ISNUMBER($AF366),INDEX(IDX_SrcStat,$AF366),"—")</f>
        <v>Active</v>
      </c>
      <c r="T366" s="42" t="n">
        <f aca="false">IF(ISNUMBER($AF366),INDEX(IDX_SrcGrade,$AF366),"—")</f>
        <v>3</v>
      </c>
      <c r="U366" s="42" t="s">
        <v>3919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2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2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4768</v>
      </c>
      <c r="B367" s="224" t="s">
        <v>3880</v>
      </c>
      <c r="C367" s="28" t="s">
        <v>4629</v>
      </c>
      <c r="D367" s="28" t="s">
        <v>4769</v>
      </c>
      <c r="E367" s="6" t="s">
        <v>287</v>
      </c>
      <c r="F367" s="224" t="s">
        <v>332</v>
      </c>
      <c r="G367" s="224" t="s">
        <v>3882</v>
      </c>
      <c r="H367" s="28" t="s">
        <v>4770</v>
      </c>
      <c r="I367" s="19" t="s">
        <v>3917</v>
      </c>
      <c r="J367" s="28" t="s">
        <v>620</v>
      </c>
      <c r="K367" s="224"/>
      <c r="L367" s="224"/>
      <c r="M367" s="28" t="s">
        <v>620</v>
      </c>
      <c r="N367" s="19" t="s">
        <v>4020</v>
      </c>
      <c r="O367" s="6" t="s">
        <v>620</v>
      </c>
      <c r="P367" s="224" t="s">
        <v>3885</v>
      </c>
      <c r="Q367" s="47" t="n">
        <f aca="false">Calib!C106</f>
        <v>1</v>
      </c>
      <c r="R367" s="177" t="n">
        <f aca="false">SRC_MOD_026</f>
        <v>1</v>
      </c>
      <c r="S367" s="42" t="str">
        <f aca="false">IF(ISNUMBER($AF367),INDEX(IDX_SrcStat,$AF367),"—")</f>
        <v>Active</v>
      </c>
      <c r="T367" s="42" t="n">
        <f aca="false">IF(ISNUMBER($AF367),INDEX(IDX_SrcGrade,$AF367),"—")</f>
        <v>3</v>
      </c>
      <c r="U367" s="42" t="s">
        <v>3919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2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2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4771</v>
      </c>
      <c r="B368" s="224" t="s">
        <v>3880</v>
      </c>
      <c r="C368" s="28" t="s">
        <v>4629</v>
      </c>
      <c r="D368" s="28" t="s">
        <v>4772</v>
      </c>
      <c r="E368" s="6" t="s">
        <v>288</v>
      </c>
      <c r="F368" s="224" t="s">
        <v>332</v>
      </c>
      <c r="G368" s="224" t="s">
        <v>3882</v>
      </c>
      <c r="H368" s="28" t="s">
        <v>4773</v>
      </c>
      <c r="I368" s="19" t="s">
        <v>3917</v>
      </c>
      <c r="J368" s="28" t="s">
        <v>620</v>
      </c>
      <c r="K368" s="224"/>
      <c r="L368" s="224"/>
      <c r="M368" s="28" t="s">
        <v>620</v>
      </c>
      <c r="N368" s="19" t="s">
        <v>4020</v>
      </c>
      <c r="O368" s="6" t="s">
        <v>620</v>
      </c>
      <c r="P368" s="224" t="s">
        <v>3885</v>
      </c>
      <c r="Q368" s="47" t="n">
        <f aca="false">Calib!C107</f>
        <v>129280</v>
      </c>
      <c r="R368" s="177" t="n">
        <f aca="false">SRC_MOD_027</f>
        <v>129280</v>
      </c>
      <c r="S368" s="42" t="str">
        <f aca="false">IF(ISNUMBER($AF368),INDEX(IDX_SrcStat,$AF368),"—")</f>
        <v>Active</v>
      </c>
      <c r="T368" s="42" t="n">
        <f aca="false">IF(ISNUMBER($AF368),INDEX(IDX_SrcGrade,$AF368),"—")</f>
        <v>3</v>
      </c>
      <c r="U368" s="42" t="s">
        <v>3919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2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2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4774</v>
      </c>
      <c r="B369" s="224" t="s">
        <v>3880</v>
      </c>
      <c r="C369" s="28" t="s">
        <v>4629</v>
      </c>
      <c r="D369" s="28" t="s">
        <v>4775</v>
      </c>
      <c r="E369" s="6" t="s">
        <v>559</v>
      </c>
      <c r="F369" s="224" t="s">
        <v>332</v>
      </c>
      <c r="G369" s="224" t="s">
        <v>3882</v>
      </c>
      <c r="H369" s="28" t="s">
        <v>4776</v>
      </c>
      <c r="I369" s="19" t="s">
        <v>4225</v>
      </c>
      <c r="J369" s="28" t="s">
        <v>620</v>
      </c>
      <c r="K369" s="224"/>
      <c r="L369" s="224"/>
      <c r="M369" s="28" t="s">
        <v>620</v>
      </c>
      <c r="N369" s="19" t="s">
        <v>4020</v>
      </c>
      <c r="O369" s="6" t="s">
        <v>620</v>
      </c>
      <c r="P369" s="224" t="s">
        <v>3885</v>
      </c>
      <c r="Q369" s="47" t="n">
        <f aca="false">Calib!C108</f>
        <v>35136</v>
      </c>
      <c r="R369" s="177" t="n">
        <f aca="false">SRC_MOD_028</f>
        <v>576</v>
      </c>
      <c r="S369" s="42" t="str">
        <f aca="false">IF(ISNUMBER($AF369),INDEX(IDX_SrcStat,$AF369),"—")</f>
        <v>Active</v>
      </c>
      <c r="T369" s="42" t="n">
        <f aca="false">IF(ISNUMBER($AF369),INDEX(IDX_SrcGrade,$AF369),"—")</f>
        <v>3</v>
      </c>
      <c r="U369" s="42" t="s">
        <v>3919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2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2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4777</v>
      </c>
      <c r="B370" s="224" t="s">
        <v>3880</v>
      </c>
      <c r="C370" s="28" t="s">
        <v>4629</v>
      </c>
      <c r="D370" s="28" t="s">
        <v>4778</v>
      </c>
      <c r="E370" s="19" t="s">
        <v>4779</v>
      </c>
      <c r="F370" s="224" t="s">
        <v>332</v>
      </c>
      <c r="G370" s="224" t="s">
        <v>3882</v>
      </c>
      <c r="H370" s="28" t="s">
        <v>4780</v>
      </c>
      <c r="I370" s="19" t="s">
        <v>4225</v>
      </c>
      <c r="J370" s="28" t="s">
        <v>620</v>
      </c>
      <c r="K370" s="224"/>
      <c r="L370" s="224"/>
      <c r="M370" s="28" t="s">
        <v>620</v>
      </c>
      <c r="N370" s="19" t="s">
        <v>4020</v>
      </c>
      <c r="O370" s="6" t="s">
        <v>620</v>
      </c>
      <c r="P370" s="224" t="s">
        <v>3885</v>
      </c>
      <c r="Q370" s="47" t="n">
        <f aca="false">Calib!C109</f>
        <v>4997120</v>
      </c>
      <c r="R370" s="177" t="n">
        <f aca="false">SRC_MOD_049</f>
        <v>128</v>
      </c>
      <c r="S370" s="42" t="str">
        <f aca="false">IF(ISNUMBER($AF370),INDEX(IDX_SrcStat,$AF370),"—")</f>
        <v>Active</v>
      </c>
      <c r="T370" s="42" t="n">
        <f aca="false">IF(ISNUMBER($AF370),INDEX(IDX_SrcGrade,$AF370),"—")</f>
        <v>3</v>
      </c>
      <c r="U370" s="42" t="s">
        <v>3919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2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2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4781</v>
      </c>
      <c r="B371" s="224" t="s">
        <v>3880</v>
      </c>
      <c r="C371" s="28" t="s">
        <v>4629</v>
      </c>
      <c r="D371" s="28" t="s">
        <v>4782</v>
      </c>
      <c r="E371" s="19" t="s">
        <v>4783</v>
      </c>
      <c r="F371" s="224" t="s">
        <v>332</v>
      </c>
      <c r="G371" s="224" t="s">
        <v>3882</v>
      </c>
      <c r="H371" s="28" t="s">
        <v>4784</v>
      </c>
      <c r="I371" s="19" t="s">
        <v>3917</v>
      </c>
      <c r="J371" s="28" t="s">
        <v>620</v>
      </c>
      <c r="K371" s="224"/>
      <c r="L371" s="224"/>
      <c r="M371" s="28" t="s">
        <v>620</v>
      </c>
      <c r="N371" s="19" t="s">
        <v>4020</v>
      </c>
      <c r="O371" s="6" t="s">
        <v>620</v>
      </c>
      <c r="P371" s="224" t="s">
        <v>3885</v>
      </c>
      <c r="Q371" s="47" t="n">
        <f aca="false">Calib!C110</f>
        <v>800</v>
      </c>
      <c r="R371" s="177" t="n">
        <f aca="false">SRC_PERF_029</f>
        <v>800</v>
      </c>
      <c r="S371" s="42" t="str">
        <f aca="false">IF(ISNUMBER($AF371),INDEX(IDX_SrcStat,$AF371),"—")</f>
        <v>Active</v>
      </c>
      <c r="T371" s="42" t="n">
        <f aca="false">IF(ISNUMBER($AF371),INDEX(IDX_SrcGrade,$AF371),"—")</f>
        <v>1</v>
      </c>
      <c r="U371" s="42" t="s">
        <v>3919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2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2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4785</v>
      </c>
      <c r="B372" s="224" t="s">
        <v>3880</v>
      </c>
      <c r="C372" s="28" t="s">
        <v>4629</v>
      </c>
      <c r="D372" s="28" t="s">
        <v>4786</v>
      </c>
      <c r="E372" s="19" t="s">
        <v>4787</v>
      </c>
      <c r="F372" s="224" t="s">
        <v>332</v>
      </c>
      <c r="G372" s="224" t="s">
        <v>3882</v>
      </c>
      <c r="H372" s="28" t="s">
        <v>4788</v>
      </c>
      <c r="I372" s="19" t="s">
        <v>3917</v>
      </c>
      <c r="J372" s="28" t="s">
        <v>620</v>
      </c>
      <c r="K372" s="224"/>
      <c r="L372" s="224"/>
      <c r="M372" s="28" t="s">
        <v>620</v>
      </c>
      <c r="N372" s="19" t="s">
        <v>4020</v>
      </c>
      <c r="O372" s="6" t="s">
        <v>620</v>
      </c>
      <c r="P372" s="224" t="s">
        <v>3885</v>
      </c>
      <c r="Q372" s="47" t="n">
        <f aca="false">Calib!C111</f>
        <v>3880</v>
      </c>
      <c r="R372" s="177" t="n">
        <f aca="false">SRC_PERF_030</f>
        <v>3880</v>
      </c>
      <c r="S372" s="42" t="str">
        <f aca="false">IF(ISNUMBER($AF372),INDEX(IDX_SrcStat,$AF372),"—")</f>
        <v>Active</v>
      </c>
      <c r="T372" s="42" t="n">
        <f aca="false">IF(ISNUMBER($AF372),INDEX(IDX_SrcGrade,$AF372),"—")</f>
        <v>1</v>
      </c>
      <c r="U372" s="42" t="s">
        <v>3919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2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2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4789</v>
      </c>
      <c r="B373" s="224" t="s">
        <v>3880</v>
      </c>
      <c r="C373" s="28" t="s">
        <v>4629</v>
      </c>
      <c r="D373" s="28" t="s">
        <v>4790</v>
      </c>
      <c r="E373" s="19" t="s">
        <v>452</v>
      </c>
      <c r="F373" s="224" t="s">
        <v>4635</v>
      </c>
      <c r="G373" s="224" t="s">
        <v>4636</v>
      </c>
      <c r="H373" s="28" t="s">
        <v>620</v>
      </c>
      <c r="I373" s="6" t="s">
        <v>620</v>
      </c>
      <c r="J373" s="28" t="s">
        <v>620</v>
      </c>
      <c r="K373" s="224"/>
      <c r="L373" s="224"/>
      <c r="M373" s="28" t="s">
        <v>620</v>
      </c>
      <c r="N373" s="6" t="s">
        <v>4791</v>
      </c>
      <c r="O373" s="6" t="s">
        <v>620</v>
      </c>
      <c r="P373" s="28" t="s">
        <v>620</v>
      </c>
      <c r="Q373" s="177" t="s">
        <v>620</v>
      </c>
      <c r="R373" s="28" t="s">
        <v>620</v>
      </c>
      <c r="S373" s="42" t="str">
        <f aca="false">IF(ISNUMBER($AF373),INDEX(IDX_SrcStat,$AF373),"—")</f>
        <v>—</v>
      </c>
      <c r="T373" s="42" t="str">
        <f aca="false">IF(ISNUMBER($AF373),INDEX(IDX_SrcGrade,$AF373),"—")</f>
        <v>—</v>
      </c>
      <c r="U373" s="28" t="s">
        <v>620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2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2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4792</v>
      </c>
      <c r="B374" s="224" t="s">
        <v>3880</v>
      </c>
      <c r="C374" s="28" t="s">
        <v>4629</v>
      </c>
      <c r="D374" s="28" t="s">
        <v>4793</v>
      </c>
      <c r="E374" s="19" t="s">
        <v>4794</v>
      </c>
      <c r="F374" s="224" t="s">
        <v>332</v>
      </c>
      <c r="G374" s="224" t="s">
        <v>3882</v>
      </c>
      <c r="H374" s="28" t="s">
        <v>4795</v>
      </c>
      <c r="I374" s="19" t="s">
        <v>4225</v>
      </c>
      <c r="J374" s="28" t="s">
        <v>620</v>
      </c>
      <c r="K374" s="224"/>
      <c r="L374" s="224"/>
      <c r="M374" s="28" t="s">
        <v>620</v>
      </c>
      <c r="N374" s="19" t="s">
        <v>4020</v>
      </c>
      <c r="O374" s="6" t="s">
        <v>620</v>
      </c>
      <c r="P374" s="224" t="s">
        <v>3885</v>
      </c>
      <c r="Q374" s="188" t="n">
        <f aca="false">Calib!C118</f>
        <v>66.6666666666667</v>
      </c>
      <c r="R374" s="177" t="n">
        <f aca="false">SRC_PERF_031</f>
        <v>15</v>
      </c>
      <c r="S374" s="42" t="str">
        <f aca="false">IF(ISNUMBER($AF374),INDEX(IDX_SrcStat,$AF374),"—")</f>
        <v>Active</v>
      </c>
      <c r="T374" s="42" t="n">
        <f aca="false">IF(ISNUMBER($AF374),INDEX(IDX_SrcGrade,$AF374),"—")</f>
        <v>1</v>
      </c>
      <c r="U374" s="42" t="s">
        <v>3919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2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2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4796</v>
      </c>
      <c r="B375" s="224" t="s">
        <v>3880</v>
      </c>
      <c r="C375" s="28" t="s">
        <v>4629</v>
      </c>
      <c r="D375" s="28" t="s">
        <v>4797</v>
      </c>
      <c r="E375" s="19" t="s">
        <v>4794</v>
      </c>
      <c r="F375" s="224" t="s">
        <v>332</v>
      </c>
      <c r="G375" s="224" t="s">
        <v>3882</v>
      </c>
      <c r="H375" s="28" t="s">
        <v>4795</v>
      </c>
      <c r="I375" s="19" t="s">
        <v>4225</v>
      </c>
      <c r="J375" s="28" t="s">
        <v>620</v>
      </c>
      <c r="K375" s="224"/>
      <c r="L375" s="224"/>
      <c r="M375" s="28" t="s">
        <v>620</v>
      </c>
      <c r="N375" s="19" t="s">
        <v>4020</v>
      </c>
      <c r="O375" s="6" t="s">
        <v>620</v>
      </c>
      <c r="P375" s="224" t="s">
        <v>3885</v>
      </c>
      <c r="Q375" s="188" t="n">
        <f aca="false">Calib!D118</f>
        <v>66.6666666666667</v>
      </c>
      <c r="R375" s="177" t="n">
        <f aca="false">SRC_PERF_031</f>
        <v>15</v>
      </c>
      <c r="S375" s="42" t="str">
        <f aca="false">IF(ISNUMBER($AF375),INDEX(IDX_SrcStat,$AF375),"—")</f>
        <v>Active</v>
      </c>
      <c r="T375" s="42" t="n">
        <f aca="false">IF(ISNUMBER($AF375),INDEX(IDX_SrcGrade,$AF375),"—")</f>
        <v>1</v>
      </c>
      <c r="U375" s="42" t="s">
        <v>3919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2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2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4798</v>
      </c>
      <c r="B376" s="224" t="s">
        <v>3880</v>
      </c>
      <c r="C376" s="28" t="s">
        <v>4629</v>
      </c>
      <c r="D376" s="28" t="s">
        <v>4799</v>
      </c>
      <c r="E376" s="19" t="s">
        <v>4794</v>
      </c>
      <c r="F376" s="224" t="s">
        <v>332</v>
      </c>
      <c r="G376" s="224" t="s">
        <v>3882</v>
      </c>
      <c r="H376" s="28" t="s">
        <v>4795</v>
      </c>
      <c r="I376" s="19" t="s">
        <v>4225</v>
      </c>
      <c r="J376" s="28" t="s">
        <v>620</v>
      </c>
      <c r="K376" s="224"/>
      <c r="L376" s="224"/>
      <c r="M376" s="28" t="s">
        <v>620</v>
      </c>
      <c r="N376" s="19" t="s">
        <v>4020</v>
      </c>
      <c r="O376" s="6" t="s">
        <v>620</v>
      </c>
      <c r="P376" s="224" t="s">
        <v>3885</v>
      </c>
      <c r="Q376" s="188" t="n">
        <f aca="false">Calib!E118</f>
        <v>66.6666666666667</v>
      </c>
      <c r="R376" s="177" t="n">
        <f aca="false">SRC_PERF_031</f>
        <v>15</v>
      </c>
      <c r="S376" s="42" t="str">
        <f aca="false">IF(ISNUMBER($AF376),INDEX(IDX_SrcStat,$AF376),"—")</f>
        <v>Active</v>
      </c>
      <c r="T376" s="42" t="n">
        <f aca="false">IF(ISNUMBER($AF376),INDEX(IDX_SrcGrade,$AF376),"—")</f>
        <v>1</v>
      </c>
      <c r="U376" s="42" t="s">
        <v>3919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2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2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4800</v>
      </c>
      <c r="B377" s="224" t="s">
        <v>3880</v>
      </c>
      <c r="C377" s="28" t="s">
        <v>4629</v>
      </c>
      <c r="D377" s="28" t="s">
        <v>4801</v>
      </c>
      <c r="E377" s="19" t="s">
        <v>4794</v>
      </c>
      <c r="F377" s="224" t="s">
        <v>332</v>
      </c>
      <c r="G377" s="224" t="s">
        <v>3882</v>
      </c>
      <c r="H377" s="28" t="s">
        <v>4802</v>
      </c>
      <c r="I377" s="19" t="s">
        <v>4225</v>
      </c>
      <c r="J377" s="28" t="s">
        <v>620</v>
      </c>
      <c r="K377" s="224"/>
      <c r="L377" s="224"/>
      <c r="M377" s="28" t="s">
        <v>620</v>
      </c>
      <c r="N377" s="19" t="s">
        <v>4020</v>
      </c>
      <c r="O377" s="6" t="s">
        <v>620</v>
      </c>
      <c r="P377" s="224" t="s">
        <v>3885</v>
      </c>
      <c r="Q377" s="188" t="n">
        <f aca="false">Calib!F118</f>
        <v>12.5</v>
      </c>
      <c r="R377" s="177" t="n">
        <f aca="false">SRC_PERF_032</f>
        <v>80</v>
      </c>
      <c r="S377" s="42" t="str">
        <f aca="false">IF(ISNUMBER($AF377),INDEX(IDX_SrcStat,$AF377),"—")</f>
        <v>Active</v>
      </c>
      <c r="T377" s="42" t="n">
        <f aca="false">IF(ISNUMBER($AF377),INDEX(IDX_SrcGrade,$AF377),"—")</f>
        <v>1</v>
      </c>
      <c r="U377" s="42" t="s">
        <v>3919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2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2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4803</v>
      </c>
      <c r="B378" s="224" t="s">
        <v>3880</v>
      </c>
      <c r="C378" s="28" t="s">
        <v>4629</v>
      </c>
      <c r="D378" s="28" t="s">
        <v>4804</v>
      </c>
      <c r="E378" s="19" t="s">
        <v>4805</v>
      </c>
      <c r="F378" s="224" t="s">
        <v>4073</v>
      </c>
      <c r="G378" s="224" t="s">
        <v>3882</v>
      </c>
      <c r="H378" s="28" t="s">
        <v>4479</v>
      </c>
      <c r="I378" s="19" t="s">
        <v>4806</v>
      </c>
      <c r="J378" s="28" t="s">
        <v>620</v>
      </c>
      <c r="K378" s="224"/>
      <c r="L378" s="224"/>
      <c r="M378" s="28" t="s">
        <v>620</v>
      </c>
      <c r="N378" s="19" t="s">
        <v>4807</v>
      </c>
      <c r="O378" s="6" t="s">
        <v>620</v>
      </c>
      <c r="P378" s="224" t="s">
        <v>3885</v>
      </c>
      <c r="Q378" s="31" t="n">
        <f aca="false">Calib!C119</f>
        <v>1</v>
      </c>
      <c r="R378" s="177" t="n">
        <f aca="false">SRC_PERF_035</f>
        <v>3</v>
      </c>
      <c r="S378" s="42" t="str">
        <f aca="false">IF(ISNUMBER($AF378),INDEX(IDX_SrcStat,$AF378),"—")</f>
        <v>Active</v>
      </c>
      <c r="T378" s="42" t="n">
        <f aca="false">IF(ISNUMBER($AF378),INDEX(IDX_SrcGrade,$AF378),"—")</f>
        <v>1</v>
      </c>
      <c r="U378" s="42" t="s">
        <v>3886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2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2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4808</v>
      </c>
      <c r="B379" s="224" t="s">
        <v>3880</v>
      </c>
      <c r="C379" s="28" t="s">
        <v>4629</v>
      </c>
      <c r="D379" s="28" t="s">
        <v>4809</v>
      </c>
      <c r="E379" s="19" t="s">
        <v>4805</v>
      </c>
      <c r="F379" s="224" t="s">
        <v>4073</v>
      </c>
      <c r="G379" s="224" t="s">
        <v>3882</v>
      </c>
      <c r="H379" s="28" t="s">
        <v>4479</v>
      </c>
      <c r="I379" s="19" t="s">
        <v>4806</v>
      </c>
      <c r="J379" s="28" t="s">
        <v>620</v>
      </c>
      <c r="K379" s="224"/>
      <c r="L379" s="224"/>
      <c r="M379" s="28" t="s">
        <v>620</v>
      </c>
      <c r="N379" s="19" t="s">
        <v>4807</v>
      </c>
      <c r="O379" s="6" t="s">
        <v>620</v>
      </c>
      <c r="P379" s="224" t="s">
        <v>3885</v>
      </c>
      <c r="Q379" s="31" t="n">
        <f aca="false">Calib!D119</f>
        <v>1</v>
      </c>
      <c r="R379" s="177" t="n">
        <f aca="false">SRC_PERF_035</f>
        <v>3</v>
      </c>
      <c r="S379" s="42" t="str">
        <f aca="false">IF(ISNUMBER($AF379),INDEX(IDX_SrcStat,$AF379),"—")</f>
        <v>Active</v>
      </c>
      <c r="T379" s="42" t="n">
        <f aca="false">IF(ISNUMBER($AF379),INDEX(IDX_SrcGrade,$AF379),"—")</f>
        <v>1</v>
      </c>
      <c r="U379" s="42" t="s">
        <v>3886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2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2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4810</v>
      </c>
      <c r="B380" s="224" t="s">
        <v>3880</v>
      </c>
      <c r="C380" s="28" t="s">
        <v>4629</v>
      </c>
      <c r="D380" s="28" t="s">
        <v>4811</v>
      </c>
      <c r="E380" s="19" t="s">
        <v>4805</v>
      </c>
      <c r="F380" s="224" t="s">
        <v>4073</v>
      </c>
      <c r="G380" s="224" t="s">
        <v>3882</v>
      </c>
      <c r="H380" s="28" t="s">
        <v>4479</v>
      </c>
      <c r="I380" s="19" t="s">
        <v>4806</v>
      </c>
      <c r="J380" s="28" t="s">
        <v>620</v>
      </c>
      <c r="K380" s="224"/>
      <c r="L380" s="224"/>
      <c r="M380" s="28" t="s">
        <v>620</v>
      </c>
      <c r="N380" s="19" t="s">
        <v>4807</v>
      </c>
      <c r="O380" s="6" t="s">
        <v>620</v>
      </c>
      <c r="P380" s="224" t="s">
        <v>3885</v>
      </c>
      <c r="Q380" s="31" t="n">
        <f aca="false">Calib!E119</f>
        <v>1</v>
      </c>
      <c r="R380" s="177" t="n">
        <f aca="false">SRC_PERF_035</f>
        <v>3</v>
      </c>
      <c r="S380" s="42" t="str">
        <f aca="false">IF(ISNUMBER($AF380),INDEX(IDX_SrcStat,$AF380),"—")</f>
        <v>Active</v>
      </c>
      <c r="T380" s="42" t="n">
        <f aca="false">IF(ISNUMBER($AF380),INDEX(IDX_SrcGrade,$AF380),"—")</f>
        <v>1</v>
      </c>
      <c r="U380" s="42" t="s">
        <v>3886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2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2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4812</v>
      </c>
      <c r="B381" s="224" t="s">
        <v>3880</v>
      </c>
      <c r="C381" s="28" t="s">
        <v>4629</v>
      </c>
      <c r="D381" s="28" t="s">
        <v>4813</v>
      </c>
      <c r="E381" s="19" t="s">
        <v>4805</v>
      </c>
      <c r="F381" s="224" t="s">
        <v>4073</v>
      </c>
      <c r="G381" s="224" t="s">
        <v>3882</v>
      </c>
      <c r="H381" s="28" t="s">
        <v>4479</v>
      </c>
      <c r="I381" s="19" t="s">
        <v>4814</v>
      </c>
      <c r="J381" s="28" t="s">
        <v>620</v>
      </c>
      <c r="K381" s="224"/>
      <c r="L381" s="224"/>
      <c r="M381" s="28" t="s">
        <v>620</v>
      </c>
      <c r="N381" s="19" t="s">
        <v>4815</v>
      </c>
      <c r="O381" s="6" t="s">
        <v>620</v>
      </c>
      <c r="P381" s="224" t="s">
        <v>3885</v>
      </c>
      <c r="Q381" s="31" t="n">
        <f aca="false">Calib!F119</f>
        <v>0</v>
      </c>
      <c r="R381" s="177" t="n">
        <f aca="false">SRC_PERF_035</f>
        <v>3</v>
      </c>
      <c r="S381" s="42" t="str">
        <f aca="false">IF(ISNUMBER($AF381),INDEX(IDX_SrcStat,$AF381),"—")</f>
        <v>Active</v>
      </c>
      <c r="T381" s="42" t="n">
        <f aca="false">IF(ISNUMBER($AF381),INDEX(IDX_SrcGrade,$AF381),"—")</f>
        <v>1</v>
      </c>
      <c r="U381" s="42" t="s">
        <v>3886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2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2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4816</v>
      </c>
      <c r="B382" s="224" t="s">
        <v>3880</v>
      </c>
      <c r="C382" s="28" t="s">
        <v>4629</v>
      </c>
      <c r="D382" s="28" t="s">
        <v>4817</v>
      </c>
      <c r="E382" s="6" t="s">
        <v>571</v>
      </c>
      <c r="F382" s="224" t="s">
        <v>332</v>
      </c>
      <c r="G382" s="224" t="s">
        <v>3882</v>
      </c>
      <c r="H382" s="28" t="s">
        <v>4818</v>
      </c>
      <c r="I382" s="19" t="s">
        <v>4225</v>
      </c>
      <c r="J382" s="28" t="s">
        <v>620</v>
      </c>
      <c r="K382" s="224"/>
      <c r="L382" s="224"/>
      <c r="M382" s="28" t="s">
        <v>620</v>
      </c>
      <c r="N382" s="19" t="s">
        <v>4020</v>
      </c>
      <c r="O382" s="6" t="s">
        <v>620</v>
      </c>
      <c r="P382" s="224" t="s">
        <v>3885</v>
      </c>
      <c r="Q382" s="47" t="n">
        <f aca="false">Calib!C120</f>
        <v>3520.91666666667</v>
      </c>
      <c r="R382" s="177" t="n">
        <f aca="false">SRC_PERF_028</f>
        <v>253506</v>
      </c>
      <c r="S382" s="42" t="str">
        <f aca="false">IF(ISNUMBER($AF382),INDEX(IDX_SrcStat,$AF382),"—")</f>
        <v>Active</v>
      </c>
      <c r="T382" s="42" t="n">
        <f aca="false">IF(ISNUMBER($AF382),INDEX(IDX_SrcGrade,$AF382),"—")</f>
        <v>1</v>
      </c>
      <c r="U382" s="42" t="s">
        <v>3919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2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2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4819</v>
      </c>
      <c r="B383" s="224" t="s">
        <v>3880</v>
      </c>
      <c r="C383" s="28" t="s">
        <v>4629</v>
      </c>
      <c r="D383" s="28" t="s">
        <v>4820</v>
      </c>
      <c r="E383" s="6" t="s">
        <v>571</v>
      </c>
      <c r="F383" s="224" t="s">
        <v>332</v>
      </c>
      <c r="G383" s="224" t="s">
        <v>3882</v>
      </c>
      <c r="H383" s="28" t="s">
        <v>4821</v>
      </c>
      <c r="I383" s="19" t="s">
        <v>4225</v>
      </c>
      <c r="J383" s="28" t="s">
        <v>620</v>
      </c>
      <c r="K383" s="224"/>
      <c r="L383" s="224"/>
      <c r="M383" s="28" t="s">
        <v>620</v>
      </c>
      <c r="N383" s="19" t="s">
        <v>4020</v>
      </c>
      <c r="O383" s="6" t="s">
        <v>620</v>
      </c>
      <c r="P383" s="224" t="s">
        <v>3885</v>
      </c>
      <c r="Q383" s="47" t="n">
        <f aca="false">Calib!D120</f>
        <v>3337.75</v>
      </c>
      <c r="R383" s="177" t="n">
        <f aca="false">SRC_PERF_025</f>
        <v>240318</v>
      </c>
      <c r="S383" s="42" t="str">
        <f aca="false">IF(ISNUMBER($AF383),INDEX(IDX_SrcStat,$AF383),"—")</f>
        <v>Active</v>
      </c>
      <c r="T383" s="42" t="n">
        <f aca="false">IF(ISNUMBER($AF383),INDEX(IDX_SrcGrade,$AF383),"—")</f>
        <v>2</v>
      </c>
      <c r="U383" s="42" t="s">
        <v>3919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2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2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4822</v>
      </c>
      <c r="B384" s="224" t="s">
        <v>3880</v>
      </c>
      <c r="C384" s="28" t="s">
        <v>4629</v>
      </c>
      <c r="D384" s="28" t="s">
        <v>4823</v>
      </c>
      <c r="E384" s="6" t="s">
        <v>571</v>
      </c>
      <c r="F384" s="224" t="s">
        <v>332</v>
      </c>
      <c r="G384" s="224" t="s">
        <v>3882</v>
      </c>
      <c r="H384" s="28" t="s">
        <v>4824</v>
      </c>
      <c r="I384" s="19" t="s">
        <v>4225</v>
      </c>
      <c r="J384" s="28" t="s">
        <v>620</v>
      </c>
      <c r="K384" s="224"/>
      <c r="L384" s="224"/>
      <c r="M384" s="28" t="s">
        <v>620</v>
      </c>
      <c r="N384" s="19" t="s">
        <v>4020</v>
      </c>
      <c r="O384" s="6" t="s">
        <v>620</v>
      </c>
      <c r="P384" s="224" t="s">
        <v>3885</v>
      </c>
      <c r="Q384" s="47" t="n">
        <f aca="false">Calib!E120</f>
        <v>9065.97222222222</v>
      </c>
      <c r="R384" s="177" t="n">
        <f aca="false">SRC_PERF_027</f>
        <v>652750</v>
      </c>
      <c r="S384" s="42" t="str">
        <f aca="false">IF(ISNUMBER($AF384),INDEX(IDX_SrcStat,$AF384),"—")</f>
        <v>Active</v>
      </c>
      <c r="T384" s="42" t="n">
        <f aca="false">IF(ISNUMBER($AF384),INDEX(IDX_SrcGrade,$AF384),"—")</f>
        <v>1</v>
      </c>
      <c r="U384" s="42" t="s">
        <v>3919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2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2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4825</v>
      </c>
      <c r="B385" s="224" t="s">
        <v>3880</v>
      </c>
      <c r="C385" s="28" t="s">
        <v>4629</v>
      </c>
      <c r="D385" s="28" t="s">
        <v>4826</v>
      </c>
      <c r="E385" s="6" t="s">
        <v>571</v>
      </c>
      <c r="F385" s="224" t="s">
        <v>332</v>
      </c>
      <c r="G385" s="224" t="s">
        <v>3882</v>
      </c>
      <c r="H385" s="28" t="s">
        <v>4827</v>
      </c>
      <c r="I385" s="19" t="s">
        <v>3917</v>
      </c>
      <c r="J385" s="28" t="s">
        <v>620</v>
      </c>
      <c r="K385" s="224"/>
      <c r="L385" s="224"/>
      <c r="M385" s="28" t="s">
        <v>620</v>
      </c>
      <c r="N385" s="19" t="s">
        <v>4020</v>
      </c>
      <c r="O385" s="6" t="s">
        <v>620</v>
      </c>
      <c r="P385" s="224" t="s">
        <v>3885</v>
      </c>
      <c r="Q385" s="47" t="n">
        <f aca="false">Calib!F120</f>
        <v>8064</v>
      </c>
      <c r="R385" s="177" t="n">
        <f aca="false">SRC_PERF_026</f>
        <v>8064</v>
      </c>
      <c r="S385" s="42" t="str">
        <f aca="false">IF(ISNUMBER($AF385),INDEX(IDX_SrcStat,$AF385),"—")</f>
        <v>Active</v>
      </c>
      <c r="T385" s="42" t="n">
        <f aca="false">IF(ISNUMBER($AF385),INDEX(IDX_SrcGrade,$AF385),"—")</f>
        <v>2</v>
      </c>
      <c r="U385" s="42" t="s">
        <v>3919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2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2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4828</v>
      </c>
      <c r="B386" s="224" t="s">
        <v>3880</v>
      </c>
      <c r="C386" s="28" t="s">
        <v>4829</v>
      </c>
      <c r="D386" s="28" t="s">
        <v>4541</v>
      </c>
      <c r="E386" s="6" t="s">
        <v>3465</v>
      </c>
      <c r="F386" s="28" t="s">
        <v>100</v>
      </c>
      <c r="G386" s="224" t="s">
        <v>3882</v>
      </c>
      <c r="H386" s="28" t="s">
        <v>620</v>
      </c>
      <c r="I386" s="6" t="s">
        <v>620</v>
      </c>
      <c r="J386" s="28" t="s">
        <v>620</v>
      </c>
      <c r="K386" s="226" t="n">
        <v>0.4</v>
      </c>
      <c r="L386" s="226" t="n">
        <v>0.8</v>
      </c>
      <c r="M386" s="28" t="s">
        <v>4830</v>
      </c>
      <c r="N386" s="225" t="str">
        <f aca="false">Energy!$F$5</f>
        <v>Assumed：pJ/FLOP＝GPU 功率 × 此比例 ÷ 峰值（滿載上限口徑），區間 0.4–0.8</v>
      </c>
      <c r="O386" s="6" t="s">
        <v>620</v>
      </c>
      <c r="P386" s="224" t="s">
        <v>3885</v>
      </c>
      <c r="Q386" s="187" t="n">
        <f aca="false">Energy!C5</f>
        <v>0.6</v>
      </c>
      <c r="R386" s="28" t="s">
        <v>620</v>
      </c>
      <c r="S386" s="42" t="str">
        <f aca="false">IF(ISNUMBER($AF386),INDEX(IDX_SrcStat,$AF386),"—")</f>
        <v>—</v>
      </c>
      <c r="T386" s="42" t="str">
        <f aca="false">IF(ISNUMBER($AF386),INDEX(IDX_SrcGrade,$AF386),"—")</f>
        <v>—</v>
      </c>
      <c r="U386" s="42" t="s">
        <v>3886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2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2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4831</v>
      </c>
      <c r="B387" s="224" t="s">
        <v>3880</v>
      </c>
      <c r="C387" s="28" t="s">
        <v>4829</v>
      </c>
      <c r="D387" s="28" t="s">
        <v>4045</v>
      </c>
      <c r="E387" s="6" t="s">
        <v>3467</v>
      </c>
      <c r="F387" s="28" t="s">
        <v>104</v>
      </c>
      <c r="G387" s="224" t="s">
        <v>3882</v>
      </c>
      <c r="H387" s="28" t="s">
        <v>4832</v>
      </c>
      <c r="I387" s="19" t="s">
        <v>4833</v>
      </c>
      <c r="J387" s="28" t="s">
        <v>620</v>
      </c>
      <c r="K387" s="226" t="n">
        <v>5</v>
      </c>
      <c r="L387" s="226" t="n">
        <v>20</v>
      </c>
      <c r="M387" s="28" t="s">
        <v>4834</v>
      </c>
      <c r="N387" s="225" t="str">
        <f aca="false">Energy!$F$6</f>
        <v>Analogy：SerDes＋交換約 1–2 pJ/bit；區間 5–20</v>
      </c>
      <c r="O387" s="6" t="s">
        <v>620</v>
      </c>
      <c r="P387" s="224" t="s">
        <v>3885</v>
      </c>
      <c r="Q387" s="31" t="n">
        <f aca="false">Energy!C6</f>
        <v>10</v>
      </c>
      <c r="R387" s="177" t="n">
        <f aca="false">SRC_HW_035_Lo</f>
        <v>1</v>
      </c>
      <c r="S387" s="42" t="str">
        <f aca="false">IF(ISNUMBER($AF387),INDEX(IDX_SrcStat,$AF387),"—")</f>
        <v>Active</v>
      </c>
      <c r="T387" s="42" t="n">
        <f aca="false">IF(ISNUMBER($AF387),INDEX(IDX_SrcGrade,$AF387),"—")</f>
        <v>3</v>
      </c>
      <c r="U387" s="42" t="s">
        <v>3886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2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2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4835</v>
      </c>
      <c r="B388" s="224" t="s">
        <v>3880</v>
      </c>
      <c r="C388" s="28" t="s">
        <v>4829</v>
      </c>
      <c r="D388" s="28" t="s">
        <v>4372</v>
      </c>
      <c r="E388" s="6" t="s">
        <v>3470</v>
      </c>
      <c r="F388" s="28" t="s">
        <v>100</v>
      </c>
      <c r="G388" s="224" t="s">
        <v>3882</v>
      </c>
      <c r="H388" s="28" t="s">
        <v>620</v>
      </c>
      <c r="I388" s="6" t="s">
        <v>620</v>
      </c>
      <c r="J388" s="28" t="s">
        <v>620</v>
      </c>
      <c r="K388" s="226" t="n">
        <v>20</v>
      </c>
      <c r="L388" s="226" t="n">
        <v>80</v>
      </c>
      <c r="M388" s="28" t="s">
        <v>4836</v>
      </c>
      <c r="N388" s="225" t="str">
        <f aca="false">Energy!$F$7</f>
        <v>Analogy：含光模組與網卡；區間 20–80</v>
      </c>
      <c r="O388" s="6" t="s">
        <v>4280</v>
      </c>
      <c r="P388" s="224" t="s">
        <v>3885</v>
      </c>
      <c r="Q388" s="31" t="n">
        <f aca="false">Energy!C7</f>
        <v>40</v>
      </c>
      <c r="R388" s="28" t="s">
        <v>620</v>
      </c>
      <c r="S388" s="42" t="str">
        <f aca="false">IF(ISNUMBER($AF388),INDEX(IDX_SrcStat,$AF388),"—")</f>
        <v>—</v>
      </c>
      <c r="T388" s="42" t="str">
        <f aca="false">IF(ISNUMBER($AF388),INDEX(IDX_SrcGrade,$AF388),"—")</f>
        <v>—</v>
      </c>
      <c r="U388" s="42" t="s">
        <v>3886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2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2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4837</v>
      </c>
      <c r="B389" s="224" t="s">
        <v>3880</v>
      </c>
      <c r="C389" s="28" t="s">
        <v>4838</v>
      </c>
      <c r="D389" s="28" t="s">
        <v>4541</v>
      </c>
      <c r="E389" s="6" t="s">
        <v>3484</v>
      </c>
      <c r="F389" s="28" t="s">
        <v>100</v>
      </c>
      <c r="G389" s="224" t="s">
        <v>85</v>
      </c>
      <c r="H389" s="28" t="s">
        <v>620</v>
      </c>
      <c r="I389" s="6" t="s">
        <v>620</v>
      </c>
      <c r="J389" s="28" t="s">
        <v>620</v>
      </c>
      <c r="K389" s="185" t="n">
        <f aca="false">NonNV!B5</f>
        <v>0.5</v>
      </c>
      <c r="L389" s="185" t="n">
        <f aca="false">NonNV!D5</f>
        <v>1</v>
      </c>
      <c r="M389" s="28" t="s">
        <v>620</v>
      </c>
      <c r="N389" s="225" t="str">
        <f aca="false">NonNV!$L$5</f>
        <v>MI355X 在 V4-Pro 上 26 天內吞吐提升 110 倍（S20 所屬部落格），軟體成熟度為主要不確定</v>
      </c>
      <c r="O389" s="6" t="s">
        <v>620</v>
      </c>
      <c r="P389" s="224" t="s">
        <v>3885</v>
      </c>
      <c r="Q389" s="185" t="n">
        <f aca="false">NonNV!C5</f>
        <v>0.7</v>
      </c>
      <c r="R389" s="28" t="s">
        <v>620</v>
      </c>
      <c r="S389" s="42" t="str">
        <f aca="false">IF(ISNUMBER($AF389),INDEX(IDX_SrcStat,$AF389),"—")</f>
        <v>—</v>
      </c>
      <c r="T389" s="42" t="str">
        <f aca="false">IF(ISNUMBER($AF389),INDEX(IDX_SrcGrade,$AF389),"—")</f>
        <v>—</v>
      </c>
      <c r="U389" s="42" t="s">
        <v>3886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2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2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4839</v>
      </c>
      <c r="B390" s="224" t="s">
        <v>3880</v>
      </c>
      <c r="C390" s="28" t="s">
        <v>4838</v>
      </c>
      <c r="D390" s="28" t="s">
        <v>4549</v>
      </c>
      <c r="E390" s="6" t="s">
        <v>3484</v>
      </c>
      <c r="F390" s="28" t="s">
        <v>100</v>
      </c>
      <c r="G390" s="224" t="s">
        <v>85</v>
      </c>
      <c r="H390" s="28" t="s">
        <v>620</v>
      </c>
      <c r="I390" s="6" t="s">
        <v>620</v>
      </c>
      <c r="J390" s="28" t="s">
        <v>620</v>
      </c>
      <c r="K390" s="185" t="n">
        <f aca="false">NonNV!E5</f>
        <v>0.8</v>
      </c>
      <c r="L390" s="185" t="n">
        <f aca="false">NonNV!G5</f>
        <v>1</v>
      </c>
      <c r="M390" s="28" t="s">
        <v>620</v>
      </c>
      <c r="N390" s="225" t="str">
        <f aca="false">NonNV!$L$5</f>
        <v>MI355X 在 V4-Pro 上 26 天內吞吐提升 110 倍（S20 所屬部落格），軟體成熟度為主要不確定</v>
      </c>
      <c r="O390" s="6" t="s">
        <v>620</v>
      </c>
      <c r="P390" s="224" t="s">
        <v>3885</v>
      </c>
      <c r="Q390" s="185" t="n">
        <f aca="false">NonNV!F5</f>
        <v>0.9</v>
      </c>
      <c r="R390" s="28" t="s">
        <v>620</v>
      </c>
      <c r="S390" s="42" t="str">
        <f aca="false">IF(ISNUMBER($AF390),INDEX(IDX_SrcStat,$AF390),"—")</f>
        <v>—</v>
      </c>
      <c r="T390" s="42" t="str">
        <f aca="false">IF(ISNUMBER($AF390),INDEX(IDX_SrcGrade,$AF390),"—")</f>
        <v>—</v>
      </c>
      <c r="U390" s="42" t="s">
        <v>3886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2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2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4840</v>
      </c>
      <c r="B391" s="224" t="s">
        <v>3880</v>
      </c>
      <c r="C391" s="28" t="s">
        <v>4838</v>
      </c>
      <c r="D391" s="28" t="s">
        <v>4841</v>
      </c>
      <c r="E391" s="6" t="s">
        <v>3484</v>
      </c>
      <c r="F391" s="28" t="s">
        <v>100</v>
      </c>
      <c r="G391" s="224" t="s">
        <v>1150</v>
      </c>
      <c r="H391" s="28" t="s">
        <v>620</v>
      </c>
      <c r="I391" s="6" t="s">
        <v>620</v>
      </c>
      <c r="J391" s="28" t="s">
        <v>620</v>
      </c>
      <c r="K391" s="224"/>
      <c r="L391" s="224"/>
      <c r="M391" s="28" t="s">
        <v>620</v>
      </c>
      <c r="N391" s="225" t="str">
        <f aca="false">NonNV!$L$5</f>
        <v>MI355X 在 V4-Pro 上 26 天內吞吐提升 110 倍（S20 所屬部落格），軟體成熟度為主要不確定</v>
      </c>
      <c r="O391" s="6" t="s">
        <v>620</v>
      </c>
      <c r="P391" s="224" t="s">
        <v>3885</v>
      </c>
      <c r="Q391" s="185" t="n">
        <f aca="false">NonNV!B5</f>
        <v>0.5</v>
      </c>
      <c r="R391" s="28" t="s">
        <v>620</v>
      </c>
      <c r="S391" s="42" t="str">
        <f aca="false">IF(ISNUMBER($AF391),INDEX(IDX_SrcStat,$AF391),"—")</f>
        <v>—</v>
      </c>
      <c r="T391" s="42" t="str">
        <f aca="false">IF(ISNUMBER($AF391),INDEX(IDX_SrcGrade,$AF391),"—")</f>
        <v>—</v>
      </c>
      <c r="U391" s="42" t="s">
        <v>3886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2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2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4842</v>
      </c>
      <c r="B392" s="224" t="s">
        <v>3880</v>
      </c>
      <c r="C392" s="28" t="s">
        <v>4838</v>
      </c>
      <c r="D392" s="28" t="s">
        <v>4546</v>
      </c>
      <c r="E392" s="6" t="s">
        <v>3484</v>
      </c>
      <c r="F392" s="28" t="s">
        <v>100</v>
      </c>
      <c r="G392" s="224" t="s">
        <v>1151</v>
      </c>
      <c r="H392" s="28" t="s">
        <v>620</v>
      </c>
      <c r="I392" s="6" t="s">
        <v>620</v>
      </c>
      <c r="J392" s="28" t="s">
        <v>620</v>
      </c>
      <c r="K392" s="224"/>
      <c r="L392" s="224"/>
      <c r="M392" s="28" t="s">
        <v>620</v>
      </c>
      <c r="N392" s="225" t="str">
        <f aca="false">NonNV!$L$5</f>
        <v>MI355X 在 V4-Pro 上 26 天內吞吐提升 110 倍（S20 所屬部落格），軟體成熟度為主要不確定</v>
      </c>
      <c r="O392" s="6" t="s">
        <v>620</v>
      </c>
      <c r="P392" s="224" t="s">
        <v>3885</v>
      </c>
      <c r="Q392" s="185" t="n">
        <f aca="false">NonNV!D5</f>
        <v>1</v>
      </c>
      <c r="R392" s="28" t="s">
        <v>620</v>
      </c>
      <c r="S392" s="42" t="str">
        <f aca="false">IF(ISNUMBER($AF392),INDEX(IDX_SrcStat,$AF392),"—")</f>
        <v>—</v>
      </c>
      <c r="T392" s="42" t="str">
        <f aca="false">IF(ISNUMBER($AF392),INDEX(IDX_SrcGrade,$AF392),"—")</f>
        <v>—</v>
      </c>
      <c r="U392" s="42" t="s">
        <v>3886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2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2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4843</v>
      </c>
      <c r="B393" s="224" t="s">
        <v>3880</v>
      </c>
      <c r="C393" s="28" t="s">
        <v>4838</v>
      </c>
      <c r="D393" s="28" t="s">
        <v>3731</v>
      </c>
      <c r="E393" s="6" t="s">
        <v>3484</v>
      </c>
      <c r="F393" s="28" t="s">
        <v>100</v>
      </c>
      <c r="G393" s="224" t="s">
        <v>1150</v>
      </c>
      <c r="H393" s="28" t="s">
        <v>620</v>
      </c>
      <c r="I393" s="6" t="s">
        <v>620</v>
      </c>
      <c r="J393" s="28" t="s">
        <v>620</v>
      </c>
      <c r="K393" s="224"/>
      <c r="L393" s="224"/>
      <c r="M393" s="28" t="s">
        <v>620</v>
      </c>
      <c r="N393" s="225" t="str">
        <f aca="false">NonNV!$L$5</f>
        <v>MI355X 在 V4-Pro 上 26 天內吞吐提升 110 倍（S20 所屬部落格），軟體成熟度為主要不確定</v>
      </c>
      <c r="O393" s="6" t="s">
        <v>620</v>
      </c>
      <c r="P393" s="224" t="s">
        <v>3885</v>
      </c>
      <c r="Q393" s="185" t="n">
        <f aca="false">NonNV!E5</f>
        <v>0.8</v>
      </c>
      <c r="R393" s="28" t="s">
        <v>620</v>
      </c>
      <c r="S393" s="42" t="str">
        <f aca="false">IF(ISNUMBER($AF393),INDEX(IDX_SrcStat,$AF393),"—")</f>
        <v>—</v>
      </c>
      <c r="T393" s="42" t="str">
        <f aca="false">IF(ISNUMBER($AF393),INDEX(IDX_SrcGrade,$AF393),"—")</f>
        <v>—</v>
      </c>
      <c r="U393" s="42" t="s">
        <v>3886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2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2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4844</v>
      </c>
      <c r="B394" s="224" t="s">
        <v>3880</v>
      </c>
      <c r="C394" s="28" t="s">
        <v>4838</v>
      </c>
      <c r="D394" s="28" t="s">
        <v>4551</v>
      </c>
      <c r="E394" s="6" t="s">
        <v>3484</v>
      </c>
      <c r="F394" s="28" t="s">
        <v>100</v>
      </c>
      <c r="G394" s="224" t="s">
        <v>1151</v>
      </c>
      <c r="H394" s="28" t="s">
        <v>620</v>
      </c>
      <c r="I394" s="6" t="s">
        <v>620</v>
      </c>
      <c r="J394" s="28" t="s">
        <v>620</v>
      </c>
      <c r="K394" s="224"/>
      <c r="L394" s="224"/>
      <c r="M394" s="28" t="s">
        <v>620</v>
      </c>
      <c r="N394" s="225" t="str">
        <f aca="false">NonNV!$L$5</f>
        <v>MI355X 在 V4-Pro 上 26 天內吞吐提升 110 倍（S20 所屬部落格），軟體成熟度為主要不確定</v>
      </c>
      <c r="O394" s="6" t="s">
        <v>620</v>
      </c>
      <c r="P394" s="224" t="s">
        <v>3885</v>
      </c>
      <c r="Q394" s="185" t="n">
        <f aca="false">NonNV!G5</f>
        <v>1</v>
      </c>
      <c r="R394" s="28" t="s">
        <v>620</v>
      </c>
      <c r="S394" s="42" t="str">
        <f aca="false">IF(ISNUMBER($AF394),INDEX(IDX_SrcStat,$AF394),"—")</f>
        <v>—</v>
      </c>
      <c r="T394" s="42" t="str">
        <f aca="false">IF(ISNUMBER($AF394),INDEX(IDX_SrcGrade,$AF394),"—")</f>
        <v>—</v>
      </c>
      <c r="U394" s="42" t="s">
        <v>3886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2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2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4845</v>
      </c>
      <c r="B395" s="224" t="s">
        <v>3880</v>
      </c>
      <c r="C395" s="28" t="s">
        <v>4838</v>
      </c>
      <c r="D395" s="28" t="s">
        <v>4045</v>
      </c>
      <c r="E395" s="6" t="s">
        <v>3486</v>
      </c>
      <c r="F395" s="28" t="s">
        <v>100</v>
      </c>
      <c r="G395" s="224" t="s">
        <v>85</v>
      </c>
      <c r="H395" s="28" t="s">
        <v>620</v>
      </c>
      <c r="I395" s="6" t="s">
        <v>620</v>
      </c>
      <c r="J395" s="28" t="s">
        <v>620</v>
      </c>
      <c r="K395" s="185" t="n">
        <f aca="false">NonNV!B6</f>
        <v>0.6</v>
      </c>
      <c r="L395" s="185" t="n">
        <f aca="false">NonNV!D6</f>
        <v>1.1</v>
      </c>
      <c r="M395" s="28" t="s">
        <v>620</v>
      </c>
      <c r="N395" s="225" t="str">
        <f aca="false">NonNV!$L$6</f>
        <v>自用為主，無公開同口徑實測</v>
      </c>
      <c r="O395" s="6" t="s">
        <v>620</v>
      </c>
      <c r="P395" s="224" t="s">
        <v>3885</v>
      </c>
      <c r="Q395" s="185" t="n">
        <f aca="false">NonNV!C6</f>
        <v>0.8</v>
      </c>
      <c r="R395" s="28" t="s">
        <v>620</v>
      </c>
      <c r="S395" s="42" t="str">
        <f aca="false">IF(ISNUMBER($AF395),INDEX(IDX_SrcStat,$AF395),"—")</f>
        <v>—</v>
      </c>
      <c r="T395" s="42" t="str">
        <f aca="false">IF(ISNUMBER($AF395),INDEX(IDX_SrcGrade,$AF395),"—")</f>
        <v>—</v>
      </c>
      <c r="U395" s="42" t="s">
        <v>3886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2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2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4846</v>
      </c>
      <c r="B396" s="224" t="s">
        <v>3880</v>
      </c>
      <c r="C396" s="28" t="s">
        <v>4838</v>
      </c>
      <c r="D396" s="28" t="s">
        <v>4053</v>
      </c>
      <c r="E396" s="6" t="s">
        <v>3486</v>
      </c>
      <c r="F396" s="28" t="s">
        <v>100</v>
      </c>
      <c r="G396" s="224" t="s">
        <v>85</v>
      </c>
      <c r="H396" s="28" t="s">
        <v>620</v>
      </c>
      <c r="I396" s="6" t="s">
        <v>620</v>
      </c>
      <c r="J396" s="28" t="s">
        <v>620</v>
      </c>
      <c r="K396" s="185" t="n">
        <f aca="false">NonNV!E6</f>
        <v>0.7</v>
      </c>
      <c r="L396" s="185" t="n">
        <f aca="false">NonNV!G6</f>
        <v>1</v>
      </c>
      <c r="M396" s="28" t="s">
        <v>620</v>
      </c>
      <c r="N396" s="225" t="str">
        <f aca="false">NonNV!$L$6</f>
        <v>自用為主，無公開同口徑實測</v>
      </c>
      <c r="O396" s="6" t="s">
        <v>620</v>
      </c>
      <c r="P396" s="224" t="s">
        <v>3885</v>
      </c>
      <c r="Q396" s="185" t="n">
        <f aca="false">NonNV!F6</f>
        <v>0.8</v>
      </c>
      <c r="R396" s="28" t="s">
        <v>620</v>
      </c>
      <c r="S396" s="42" t="str">
        <f aca="false">IF(ISNUMBER($AF396),INDEX(IDX_SrcStat,$AF396),"—")</f>
        <v>—</v>
      </c>
      <c r="T396" s="42" t="str">
        <f aca="false">IF(ISNUMBER($AF396),INDEX(IDX_SrcGrade,$AF396),"—")</f>
        <v>—</v>
      </c>
      <c r="U396" s="42" t="s">
        <v>3886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2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2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4847</v>
      </c>
      <c r="B397" s="224" t="s">
        <v>3880</v>
      </c>
      <c r="C397" s="28" t="s">
        <v>4838</v>
      </c>
      <c r="D397" s="28" t="s">
        <v>4848</v>
      </c>
      <c r="E397" s="6" t="s">
        <v>3486</v>
      </c>
      <c r="F397" s="28" t="s">
        <v>100</v>
      </c>
      <c r="G397" s="224" t="s">
        <v>1150</v>
      </c>
      <c r="H397" s="28" t="s">
        <v>620</v>
      </c>
      <c r="I397" s="6" t="s">
        <v>620</v>
      </c>
      <c r="J397" s="28" t="s">
        <v>620</v>
      </c>
      <c r="K397" s="224"/>
      <c r="L397" s="224"/>
      <c r="M397" s="28" t="s">
        <v>620</v>
      </c>
      <c r="N397" s="225" t="str">
        <f aca="false">NonNV!$L$6</f>
        <v>自用為主，無公開同口徑實測</v>
      </c>
      <c r="O397" s="6" t="s">
        <v>620</v>
      </c>
      <c r="P397" s="224" t="s">
        <v>3885</v>
      </c>
      <c r="Q397" s="185" t="n">
        <f aca="false">NonNV!B6</f>
        <v>0.6</v>
      </c>
      <c r="R397" s="28" t="s">
        <v>620</v>
      </c>
      <c r="S397" s="42" t="str">
        <f aca="false">IF(ISNUMBER($AF397),INDEX(IDX_SrcStat,$AF397),"—")</f>
        <v>—</v>
      </c>
      <c r="T397" s="42" t="str">
        <f aca="false">IF(ISNUMBER($AF397),INDEX(IDX_SrcGrade,$AF397),"—")</f>
        <v>—</v>
      </c>
      <c r="U397" s="42" t="s">
        <v>3886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2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2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4849</v>
      </c>
      <c r="B398" s="224" t="s">
        <v>3880</v>
      </c>
      <c r="C398" s="28" t="s">
        <v>4838</v>
      </c>
      <c r="D398" s="28" t="s">
        <v>4049</v>
      </c>
      <c r="E398" s="6" t="s">
        <v>3486</v>
      </c>
      <c r="F398" s="28" t="s">
        <v>100</v>
      </c>
      <c r="G398" s="224" t="s">
        <v>1151</v>
      </c>
      <c r="H398" s="28" t="s">
        <v>620</v>
      </c>
      <c r="I398" s="6" t="s">
        <v>620</v>
      </c>
      <c r="J398" s="28" t="s">
        <v>620</v>
      </c>
      <c r="K398" s="224"/>
      <c r="L398" s="224"/>
      <c r="M398" s="28" t="s">
        <v>620</v>
      </c>
      <c r="N398" s="225" t="str">
        <f aca="false">NonNV!$L$6</f>
        <v>自用為主，無公開同口徑實測</v>
      </c>
      <c r="O398" s="6" t="s">
        <v>620</v>
      </c>
      <c r="P398" s="224" t="s">
        <v>3885</v>
      </c>
      <c r="Q398" s="185" t="n">
        <f aca="false">NonNV!D6</f>
        <v>1.1</v>
      </c>
      <c r="R398" s="28" t="s">
        <v>620</v>
      </c>
      <c r="S398" s="42" t="str">
        <f aca="false">IF(ISNUMBER($AF398),INDEX(IDX_SrcStat,$AF398),"—")</f>
        <v>—</v>
      </c>
      <c r="T398" s="42" t="str">
        <f aca="false">IF(ISNUMBER($AF398),INDEX(IDX_SrcGrade,$AF398),"—")</f>
        <v>—</v>
      </c>
      <c r="U398" s="42" t="s">
        <v>3886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2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2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4850</v>
      </c>
      <c r="B399" s="224" t="s">
        <v>3880</v>
      </c>
      <c r="C399" s="28" t="s">
        <v>4838</v>
      </c>
      <c r="D399" s="28" t="s">
        <v>3733</v>
      </c>
      <c r="E399" s="6" t="s">
        <v>3486</v>
      </c>
      <c r="F399" s="28" t="s">
        <v>100</v>
      </c>
      <c r="G399" s="224" t="s">
        <v>1150</v>
      </c>
      <c r="H399" s="28" t="s">
        <v>620</v>
      </c>
      <c r="I399" s="6" t="s">
        <v>620</v>
      </c>
      <c r="J399" s="28" t="s">
        <v>620</v>
      </c>
      <c r="K399" s="224"/>
      <c r="L399" s="224"/>
      <c r="M399" s="28" t="s">
        <v>620</v>
      </c>
      <c r="N399" s="225" t="str">
        <f aca="false">NonNV!$L$6</f>
        <v>自用為主，無公開同口徑實測</v>
      </c>
      <c r="O399" s="6" t="s">
        <v>620</v>
      </c>
      <c r="P399" s="224" t="s">
        <v>3885</v>
      </c>
      <c r="Q399" s="185" t="n">
        <f aca="false">NonNV!E6</f>
        <v>0.7</v>
      </c>
      <c r="R399" s="28" t="s">
        <v>620</v>
      </c>
      <c r="S399" s="42" t="str">
        <f aca="false">IF(ISNUMBER($AF399),INDEX(IDX_SrcStat,$AF399),"—")</f>
        <v>—</v>
      </c>
      <c r="T399" s="42" t="str">
        <f aca="false">IF(ISNUMBER($AF399),INDEX(IDX_SrcGrade,$AF399),"—")</f>
        <v>—</v>
      </c>
      <c r="U399" s="42" t="s">
        <v>3886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2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2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4851</v>
      </c>
      <c r="B400" s="224" t="s">
        <v>3880</v>
      </c>
      <c r="C400" s="28" t="s">
        <v>4838</v>
      </c>
      <c r="D400" s="28" t="s">
        <v>4055</v>
      </c>
      <c r="E400" s="6" t="s">
        <v>3486</v>
      </c>
      <c r="F400" s="28" t="s">
        <v>100</v>
      </c>
      <c r="G400" s="224" t="s">
        <v>1151</v>
      </c>
      <c r="H400" s="28" t="s">
        <v>620</v>
      </c>
      <c r="I400" s="6" t="s">
        <v>620</v>
      </c>
      <c r="J400" s="28" t="s">
        <v>620</v>
      </c>
      <c r="K400" s="224"/>
      <c r="L400" s="224"/>
      <c r="M400" s="28" t="s">
        <v>620</v>
      </c>
      <c r="N400" s="225" t="str">
        <f aca="false">NonNV!$L$6</f>
        <v>自用為主，無公開同口徑實測</v>
      </c>
      <c r="O400" s="6" t="s">
        <v>620</v>
      </c>
      <c r="P400" s="224" t="s">
        <v>3885</v>
      </c>
      <c r="Q400" s="185" t="n">
        <f aca="false">NonNV!G6</f>
        <v>1</v>
      </c>
      <c r="R400" s="28" t="s">
        <v>620</v>
      </c>
      <c r="S400" s="42" t="str">
        <f aca="false">IF(ISNUMBER($AF400),INDEX(IDX_SrcStat,$AF400),"—")</f>
        <v>—</v>
      </c>
      <c r="T400" s="42" t="str">
        <f aca="false">IF(ISNUMBER($AF400),INDEX(IDX_SrcGrade,$AF400),"—")</f>
        <v>—</v>
      </c>
      <c r="U400" s="42" t="s">
        <v>3886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2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2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4852</v>
      </c>
      <c r="B401" s="224" t="s">
        <v>3880</v>
      </c>
      <c r="C401" s="28" t="s">
        <v>4838</v>
      </c>
      <c r="D401" s="28" t="s">
        <v>4372</v>
      </c>
      <c r="E401" s="6" t="s">
        <v>3488</v>
      </c>
      <c r="F401" s="28" t="s">
        <v>100</v>
      </c>
      <c r="G401" s="224" t="s">
        <v>85</v>
      </c>
      <c r="H401" s="28" t="s">
        <v>620</v>
      </c>
      <c r="I401" s="6" t="s">
        <v>620</v>
      </c>
      <c r="J401" s="28" t="s">
        <v>620</v>
      </c>
      <c r="K401" s="185" t="n">
        <f aca="false">NonNV!B7</f>
        <v>0.3</v>
      </c>
      <c r="L401" s="185" t="n">
        <f aca="false">NonNV!D7</f>
        <v>0.8</v>
      </c>
      <c r="M401" s="28" t="s">
        <v>620</v>
      </c>
      <c r="N401" s="225" t="str">
        <f aca="false">NonNV!$L$7</f>
        <v>OpenAI v0.5 以 2GW Trainium 合約為輸入</v>
      </c>
      <c r="O401" s="6" t="s">
        <v>620</v>
      </c>
      <c r="P401" s="224" t="s">
        <v>3885</v>
      </c>
      <c r="Q401" s="185" t="n">
        <f aca="false">NonNV!C7</f>
        <v>0.5</v>
      </c>
      <c r="R401" s="28" t="s">
        <v>620</v>
      </c>
      <c r="S401" s="42" t="str">
        <f aca="false">IF(ISNUMBER($AF401),INDEX(IDX_SrcStat,$AF401),"—")</f>
        <v>—</v>
      </c>
      <c r="T401" s="42" t="str">
        <f aca="false">IF(ISNUMBER($AF401),INDEX(IDX_SrcGrade,$AF401),"—")</f>
        <v>—</v>
      </c>
      <c r="U401" s="42" t="s">
        <v>3886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2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2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4853</v>
      </c>
      <c r="B402" s="224" t="s">
        <v>3880</v>
      </c>
      <c r="C402" s="28" t="s">
        <v>4838</v>
      </c>
      <c r="D402" s="28" t="s">
        <v>4565</v>
      </c>
      <c r="E402" s="6" t="s">
        <v>3488</v>
      </c>
      <c r="F402" s="28" t="s">
        <v>100</v>
      </c>
      <c r="G402" s="224" t="s">
        <v>85</v>
      </c>
      <c r="H402" s="28" t="s">
        <v>620</v>
      </c>
      <c r="I402" s="6" t="s">
        <v>620</v>
      </c>
      <c r="J402" s="28" t="s">
        <v>620</v>
      </c>
      <c r="K402" s="185" t="n">
        <f aca="false">NonNV!E7</f>
        <v>0.6</v>
      </c>
      <c r="L402" s="185" t="n">
        <f aca="false">NonNV!G7</f>
        <v>0.9</v>
      </c>
      <c r="M402" s="28" t="s">
        <v>620</v>
      </c>
      <c r="N402" s="225" t="str">
        <f aca="false">NonNV!$L$7</f>
        <v>OpenAI v0.5 以 2GW Trainium 合約為輸入</v>
      </c>
      <c r="O402" s="6" t="s">
        <v>620</v>
      </c>
      <c r="P402" s="224" t="s">
        <v>3885</v>
      </c>
      <c r="Q402" s="185" t="n">
        <f aca="false">NonNV!F7</f>
        <v>0.7</v>
      </c>
      <c r="R402" s="28" t="s">
        <v>620</v>
      </c>
      <c r="S402" s="42" t="str">
        <f aca="false">IF(ISNUMBER($AF402),INDEX(IDX_SrcStat,$AF402),"—")</f>
        <v>—</v>
      </c>
      <c r="T402" s="42" t="str">
        <f aca="false">IF(ISNUMBER($AF402),INDEX(IDX_SrcGrade,$AF402),"—")</f>
        <v>—</v>
      </c>
      <c r="U402" s="42" t="s">
        <v>3886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2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2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4854</v>
      </c>
      <c r="B403" s="224" t="s">
        <v>3880</v>
      </c>
      <c r="C403" s="28" t="s">
        <v>4838</v>
      </c>
      <c r="D403" s="28" t="s">
        <v>4855</v>
      </c>
      <c r="E403" s="6" t="s">
        <v>3488</v>
      </c>
      <c r="F403" s="28" t="s">
        <v>100</v>
      </c>
      <c r="G403" s="224" t="s">
        <v>1150</v>
      </c>
      <c r="H403" s="28" t="s">
        <v>620</v>
      </c>
      <c r="I403" s="6" t="s">
        <v>620</v>
      </c>
      <c r="J403" s="28" t="s">
        <v>620</v>
      </c>
      <c r="K403" s="224"/>
      <c r="L403" s="224"/>
      <c r="M403" s="28" t="s">
        <v>620</v>
      </c>
      <c r="N403" s="225" t="str">
        <f aca="false">NonNV!$L$7</f>
        <v>OpenAI v0.5 以 2GW Trainium 合約為輸入</v>
      </c>
      <c r="O403" s="6" t="s">
        <v>620</v>
      </c>
      <c r="P403" s="224" t="s">
        <v>3885</v>
      </c>
      <c r="Q403" s="185" t="n">
        <f aca="false">NonNV!B7</f>
        <v>0.3</v>
      </c>
      <c r="R403" s="28" t="s">
        <v>620</v>
      </c>
      <c r="S403" s="42" t="str">
        <f aca="false">IF(ISNUMBER($AF403),INDEX(IDX_SrcStat,$AF403),"—")</f>
        <v>—</v>
      </c>
      <c r="T403" s="42" t="str">
        <f aca="false">IF(ISNUMBER($AF403),INDEX(IDX_SrcGrade,$AF403),"—")</f>
        <v>—</v>
      </c>
      <c r="U403" s="42" t="s">
        <v>3886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2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2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4856</v>
      </c>
      <c r="B404" s="224" t="s">
        <v>3880</v>
      </c>
      <c r="C404" s="28" t="s">
        <v>4838</v>
      </c>
      <c r="D404" s="28" t="s">
        <v>4375</v>
      </c>
      <c r="E404" s="6" t="s">
        <v>3488</v>
      </c>
      <c r="F404" s="28" t="s">
        <v>100</v>
      </c>
      <c r="G404" s="224" t="s">
        <v>1151</v>
      </c>
      <c r="H404" s="28" t="s">
        <v>620</v>
      </c>
      <c r="I404" s="6" t="s">
        <v>620</v>
      </c>
      <c r="J404" s="28" t="s">
        <v>620</v>
      </c>
      <c r="K404" s="224"/>
      <c r="L404" s="224"/>
      <c r="M404" s="28" t="s">
        <v>620</v>
      </c>
      <c r="N404" s="225" t="str">
        <f aca="false">NonNV!$L$7</f>
        <v>OpenAI v0.5 以 2GW Trainium 合約為輸入</v>
      </c>
      <c r="O404" s="6" t="s">
        <v>620</v>
      </c>
      <c r="P404" s="224" t="s">
        <v>3885</v>
      </c>
      <c r="Q404" s="185" t="n">
        <f aca="false">NonNV!D7</f>
        <v>0.8</v>
      </c>
      <c r="R404" s="28" t="s">
        <v>620</v>
      </c>
      <c r="S404" s="42" t="str">
        <f aca="false">IF(ISNUMBER($AF404),INDEX(IDX_SrcStat,$AF404),"—")</f>
        <v>—</v>
      </c>
      <c r="T404" s="42" t="str">
        <f aca="false">IF(ISNUMBER($AF404),INDEX(IDX_SrcGrade,$AF404),"—")</f>
        <v>—</v>
      </c>
      <c r="U404" s="42" t="s">
        <v>3886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2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2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4857</v>
      </c>
      <c r="B405" s="224" t="s">
        <v>3880</v>
      </c>
      <c r="C405" s="28" t="s">
        <v>4838</v>
      </c>
      <c r="D405" s="28" t="s">
        <v>3736</v>
      </c>
      <c r="E405" s="6" t="s">
        <v>3488</v>
      </c>
      <c r="F405" s="28" t="s">
        <v>100</v>
      </c>
      <c r="G405" s="224" t="s">
        <v>1150</v>
      </c>
      <c r="H405" s="28" t="s">
        <v>620</v>
      </c>
      <c r="I405" s="6" t="s">
        <v>620</v>
      </c>
      <c r="J405" s="28" t="s">
        <v>620</v>
      </c>
      <c r="K405" s="224"/>
      <c r="L405" s="224"/>
      <c r="M405" s="28" t="s">
        <v>620</v>
      </c>
      <c r="N405" s="225" t="str">
        <f aca="false">NonNV!$L$7</f>
        <v>OpenAI v0.5 以 2GW Trainium 合約為輸入</v>
      </c>
      <c r="O405" s="6" t="s">
        <v>620</v>
      </c>
      <c r="P405" s="224" t="s">
        <v>3885</v>
      </c>
      <c r="Q405" s="185" t="n">
        <f aca="false">NonNV!E7</f>
        <v>0.6</v>
      </c>
      <c r="R405" s="28" t="s">
        <v>620</v>
      </c>
      <c r="S405" s="42" t="str">
        <f aca="false">IF(ISNUMBER($AF405),INDEX(IDX_SrcStat,$AF405),"—")</f>
        <v>—</v>
      </c>
      <c r="T405" s="42" t="str">
        <f aca="false">IF(ISNUMBER($AF405),INDEX(IDX_SrcGrade,$AF405),"—")</f>
        <v>—</v>
      </c>
      <c r="U405" s="42" t="s">
        <v>3886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2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2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4858</v>
      </c>
      <c r="B406" s="224" t="s">
        <v>3880</v>
      </c>
      <c r="C406" s="28" t="s">
        <v>4838</v>
      </c>
      <c r="D406" s="28" t="s">
        <v>4567</v>
      </c>
      <c r="E406" s="6" t="s">
        <v>3488</v>
      </c>
      <c r="F406" s="28" t="s">
        <v>100</v>
      </c>
      <c r="G406" s="224" t="s">
        <v>1151</v>
      </c>
      <c r="H406" s="28" t="s">
        <v>620</v>
      </c>
      <c r="I406" s="6" t="s">
        <v>620</v>
      </c>
      <c r="J406" s="28" t="s">
        <v>620</v>
      </c>
      <c r="K406" s="224"/>
      <c r="L406" s="224"/>
      <c r="M406" s="28" t="s">
        <v>620</v>
      </c>
      <c r="N406" s="225" t="str">
        <f aca="false">NonNV!$L$7</f>
        <v>OpenAI v0.5 以 2GW Trainium 合約為輸入</v>
      </c>
      <c r="O406" s="6" t="s">
        <v>620</v>
      </c>
      <c r="P406" s="224" t="s">
        <v>3885</v>
      </c>
      <c r="Q406" s="185" t="n">
        <f aca="false">NonNV!G7</f>
        <v>0.9</v>
      </c>
      <c r="R406" s="28" t="s">
        <v>620</v>
      </c>
      <c r="S406" s="42" t="str">
        <f aca="false">IF(ISNUMBER($AF406),INDEX(IDX_SrcStat,$AF406),"—")</f>
        <v>—</v>
      </c>
      <c r="T406" s="42" t="str">
        <f aca="false">IF(ISNUMBER($AF406),INDEX(IDX_SrcGrade,$AF406),"—")</f>
        <v>—</v>
      </c>
      <c r="U406" s="42" t="s">
        <v>3886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2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2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4859</v>
      </c>
      <c r="B407" s="224" t="s">
        <v>3880</v>
      </c>
      <c r="C407" s="28" t="s">
        <v>4838</v>
      </c>
      <c r="D407" s="28" t="s">
        <v>4058</v>
      </c>
      <c r="E407" s="6" t="s">
        <v>3490</v>
      </c>
      <c r="F407" s="28" t="s">
        <v>100</v>
      </c>
      <c r="G407" s="224" t="s">
        <v>85</v>
      </c>
      <c r="H407" s="28" t="s">
        <v>620</v>
      </c>
      <c r="I407" s="6" t="s">
        <v>620</v>
      </c>
      <c r="J407" s="28" t="s">
        <v>620</v>
      </c>
      <c r="K407" s="185" t="n">
        <f aca="false">NonNV!B8</f>
        <v>0.2</v>
      </c>
      <c r="L407" s="185" t="n">
        <f aca="false">NonNV!D8</f>
        <v>0.8</v>
      </c>
      <c r="M407" s="28" t="s">
        <v>620</v>
      </c>
      <c r="N407" s="225" t="str">
        <f aca="false">NonNV!$L$8</f>
        <v>高互動性利基；每 GW 吞吐低、單用戶速度高</v>
      </c>
      <c r="O407" s="6" t="s">
        <v>620</v>
      </c>
      <c r="P407" s="224" t="s">
        <v>3885</v>
      </c>
      <c r="Q407" s="185" t="n">
        <f aca="false">NonNV!C8</f>
        <v>0.4</v>
      </c>
      <c r="R407" s="28" t="s">
        <v>620</v>
      </c>
      <c r="S407" s="42" t="str">
        <f aca="false">IF(ISNUMBER($AF407),INDEX(IDX_SrcStat,$AF407),"—")</f>
        <v>—</v>
      </c>
      <c r="T407" s="42" t="str">
        <f aca="false">IF(ISNUMBER($AF407),INDEX(IDX_SrcGrade,$AF407),"—")</f>
        <v>—</v>
      </c>
      <c r="U407" s="42" t="s">
        <v>3886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2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2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4860</v>
      </c>
      <c r="B408" s="224" t="s">
        <v>3880</v>
      </c>
      <c r="C408" s="28" t="s">
        <v>4838</v>
      </c>
      <c r="D408" s="28" t="s">
        <v>4066</v>
      </c>
      <c r="E408" s="6" t="s">
        <v>3490</v>
      </c>
      <c r="F408" s="28" t="s">
        <v>100</v>
      </c>
      <c r="G408" s="224" t="s">
        <v>85</v>
      </c>
      <c r="H408" s="28" t="s">
        <v>620</v>
      </c>
      <c r="I408" s="6" t="s">
        <v>620</v>
      </c>
      <c r="J408" s="28" t="s">
        <v>620</v>
      </c>
      <c r="K408" s="185" t="n">
        <f aca="false">NonNV!E8</f>
        <v>0.8</v>
      </c>
      <c r="L408" s="185" t="n">
        <f aca="false">NonNV!G8</f>
        <v>1.2</v>
      </c>
      <c r="M408" s="28" t="s">
        <v>620</v>
      </c>
      <c r="N408" s="225" t="str">
        <f aca="false">NonNV!$L$8</f>
        <v>高互動性利基；每 GW 吞吐低、單用戶速度高</v>
      </c>
      <c r="O408" s="6" t="s">
        <v>620</v>
      </c>
      <c r="P408" s="224" t="s">
        <v>3885</v>
      </c>
      <c r="Q408" s="185" t="n">
        <f aca="false">NonNV!F8</f>
        <v>1</v>
      </c>
      <c r="R408" s="28" t="s">
        <v>620</v>
      </c>
      <c r="S408" s="42" t="str">
        <f aca="false">IF(ISNUMBER($AF408),INDEX(IDX_SrcStat,$AF408),"—")</f>
        <v>—</v>
      </c>
      <c r="T408" s="42" t="str">
        <f aca="false">IF(ISNUMBER($AF408),INDEX(IDX_SrcGrade,$AF408),"—")</f>
        <v>—</v>
      </c>
      <c r="U408" s="42" t="s">
        <v>3886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2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2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4861</v>
      </c>
      <c r="B409" s="224" t="s">
        <v>3880</v>
      </c>
      <c r="C409" s="28" t="s">
        <v>4838</v>
      </c>
      <c r="D409" s="28" t="s">
        <v>4862</v>
      </c>
      <c r="E409" s="6" t="s">
        <v>3490</v>
      </c>
      <c r="F409" s="28" t="s">
        <v>100</v>
      </c>
      <c r="G409" s="224" t="s">
        <v>1150</v>
      </c>
      <c r="H409" s="28" t="s">
        <v>620</v>
      </c>
      <c r="I409" s="6" t="s">
        <v>620</v>
      </c>
      <c r="J409" s="28" t="s">
        <v>620</v>
      </c>
      <c r="K409" s="224"/>
      <c r="L409" s="224"/>
      <c r="M409" s="28" t="s">
        <v>620</v>
      </c>
      <c r="N409" s="225" t="str">
        <f aca="false">NonNV!$L$8</f>
        <v>高互動性利基；每 GW 吞吐低、單用戶速度高</v>
      </c>
      <c r="O409" s="6" t="s">
        <v>620</v>
      </c>
      <c r="P409" s="224" t="s">
        <v>3885</v>
      </c>
      <c r="Q409" s="185" t="n">
        <f aca="false">NonNV!B8</f>
        <v>0.2</v>
      </c>
      <c r="R409" s="28" t="s">
        <v>620</v>
      </c>
      <c r="S409" s="42" t="str">
        <f aca="false">IF(ISNUMBER($AF409),INDEX(IDX_SrcStat,$AF409),"—")</f>
        <v>—</v>
      </c>
      <c r="T409" s="42" t="str">
        <f aca="false">IF(ISNUMBER($AF409),INDEX(IDX_SrcGrade,$AF409),"—")</f>
        <v>—</v>
      </c>
      <c r="U409" s="42" t="s">
        <v>3886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2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2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4863</v>
      </c>
      <c r="B410" s="224" t="s">
        <v>3880</v>
      </c>
      <c r="C410" s="28" t="s">
        <v>4838</v>
      </c>
      <c r="D410" s="28" t="s">
        <v>4061</v>
      </c>
      <c r="E410" s="6" t="s">
        <v>3490</v>
      </c>
      <c r="F410" s="28" t="s">
        <v>100</v>
      </c>
      <c r="G410" s="224" t="s">
        <v>1151</v>
      </c>
      <c r="H410" s="28" t="s">
        <v>620</v>
      </c>
      <c r="I410" s="6" t="s">
        <v>620</v>
      </c>
      <c r="J410" s="28" t="s">
        <v>620</v>
      </c>
      <c r="K410" s="224"/>
      <c r="L410" s="224"/>
      <c r="M410" s="28" t="s">
        <v>620</v>
      </c>
      <c r="N410" s="225" t="str">
        <f aca="false">NonNV!$L$8</f>
        <v>高互動性利基；每 GW 吞吐低、單用戶速度高</v>
      </c>
      <c r="O410" s="6" t="s">
        <v>620</v>
      </c>
      <c r="P410" s="224" t="s">
        <v>3885</v>
      </c>
      <c r="Q410" s="185" t="n">
        <f aca="false">NonNV!D8</f>
        <v>0.8</v>
      </c>
      <c r="R410" s="28" t="s">
        <v>620</v>
      </c>
      <c r="S410" s="42" t="str">
        <f aca="false">IF(ISNUMBER($AF410),INDEX(IDX_SrcStat,$AF410),"—")</f>
        <v>—</v>
      </c>
      <c r="T410" s="42" t="str">
        <f aca="false">IF(ISNUMBER($AF410),INDEX(IDX_SrcGrade,$AF410),"—")</f>
        <v>—</v>
      </c>
      <c r="U410" s="42" t="s">
        <v>3886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2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2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4864</v>
      </c>
      <c r="B411" s="224" t="s">
        <v>3880</v>
      </c>
      <c r="C411" s="28" t="s">
        <v>4838</v>
      </c>
      <c r="D411" s="28" t="s">
        <v>3739</v>
      </c>
      <c r="E411" s="6" t="s">
        <v>3490</v>
      </c>
      <c r="F411" s="28" t="s">
        <v>100</v>
      </c>
      <c r="G411" s="224" t="s">
        <v>1150</v>
      </c>
      <c r="H411" s="28" t="s">
        <v>620</v>
      </c>
      <c r="I411" s="6" t="s">
        <v>620</v>
      </c>
      <c r="J411" s="28" t="s">
        <v>620</v>
      </c>
      <c r="K411" s="224"/>
      <c r="L411" s="224"/>
      <c r="M411" s="28" t="s">
        <v>620</v>
      </c>
      <c r="N411" s="225" t="str">
        <f aca="false">NonNV!$L$8</f>
        <v>高互動性利基；每 GW 吞吐低、單用戶速度高</v>
      </c>
      <c r="O411" s="6" t="s">
        <v>620</v>
      </c>
      <c r="P411" s="224" t="s">
        <v>3885</v>
      </c>
      <c r="Q411" s="185" t="n">
        <f aca="false">NonNV!E8</f>
        <v>0.8</v>
      </c>
      <c r="R411" s="28" t="s">
        <v>620</v>
      </c>
      <c r="S411" s="42" t="str">
        <f aca="false">IF(ISNUMBER($AF411),INDEX(IDX_SrcStat,$AF411),"—")</f>
        <v>—</v>
      </c>
      <c r="T411" s="42" t="str">
        <f aca="false">IF(ISNUMBER($AF411),INDEX(IDX_SrcGrade,$AF411),"—")</f>
        <v>—</v>
      </c>
      <c r="U411" s="42" t="s">
        <v>3886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2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2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4865</v>
      </c>
      <c r="B412" s="224" t="s">
        <v>3880</v>
      </c>
      <c r="C412" s="28" t="s">
        <v>4838</v>
      </c>
      <c r="D412" s="28" t="s">
        <v>4069</v>
      </c>
      <c r="E412" s="6" t="s">
        <v>3490</v>
      </c>
      <c r="F412" s="28" t="s">
        <v>100</v>
      </c>
      <c r="G412" s="224" t="s">
        <v>1151</v>
      </c>
      <c r="H412" s="28" t="s">
        <v>620</v>
      </c>
      <c r="I412" s="6" t="s">
        <v>620</v>
      </c>
      <c r="J412" s="28" t="s">
        <v>620</v>
      </c>
      <c r="K412" s="224"/>
      <c r="L412" s="224"/>
      <c r="M412" s="28" t="s">
        <v>620</v>
      </c>
      <c r="N412" s="225" t="str">
        <f aca="false">NonNV!$L$8</f>
        <v>高互動性利基；每 GW 吞吐低、單用戶速度高</v>
      </c>
      <c r="O412" s="6" t="s">
        <v>620</v>
      </c>
      <c r="P412" s="224" t="s">
        <v>3885</v>
      </c>
      <c r="Q412" s="185" t="n">
        <f aca="false">NonNV!G8</f>
        <v>1.2</v>
      </c>
      <c r="R412" s="28" t="s">
        <v>620</v>
      </c>
      <c r="S412" s="42" t="str">
        <f aca="false">IF(ISNUMBER($AF412),INDEX(IDX_SrcStat,$AF412),"—")</f>
        <v>—</v>
      </c>
      <c r="T412" s="42" t="str">
        <f aca="false">IF(ISNUMBER($AF412),INDEX(IDX_SrcGrade,$AF412),"—")</f>
        <v>—</v>
      </c>
      <c r="U412" s="42" t="s">
        <v>3886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2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2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4866</v>
      </c>
      <c r="B413" s="224" t="s">
        <v>3880</v>
      </c>
      <c r="C413" s="28" t="s">
        <v>4838</v>
      </c>
      <c r="D413" s="28" t="s">
        <v>4072</v>
      </c>
      <c r="E413" s="6" t="s">
        <v>3492</v>
      </c>
      <c r="F413" s="28" t="s">
        <v>100</v>
      </c>
      <c r="G413" s="224" t="s">
        <v>85</v>
      </c>
      <c r="H413" s="28" t="s">
        <v>620</v>
      </c>
      <c r="I413" s="6" t="s">
        <v>620</v>
      </c>
      <c r="J413" s="28" t="s">
        <v>620</v>
      </c>
      <c r="K413" s="185" t="n">
        <f aca="false">NonNV!B9</f>
        <v>0.4</v>
      </c>
      <c r="L413" s="185" t="n">
        <f aca="false">NonNV!D9</f>
        <v>0.9</v>
      </c>
      <c r="M413" s="28" t="s">
        <v>620</v>
      </c>
      <c r="N413" s="225" t="str">
        <f aca="false">NonNV!$L$9</f>
        <v>無公開規格；沿用 v0.5「自研／其他 0.6（0.4–1.0）」</v>
      </c>
      <c r="O413" s="6" t="s">
        <v>620</v>
      </c>
      <c r="P413" s="224" t="s">
        <v>3885</v>
      </c>
      <c r="Q413" s="185" t="n">
        <f aca="false">NonNV!C9</f>
        <v>0.6</v>
      </c>
      <c r="R413" s="28" t="s">
        <v>620</v>
      </c>
      <c r="S413" s="42" t="str">
        <f aca="false">IF(ISNUMBER($AF413),INDEX(IDX_SrcStat,$AF413),"—")</f>
        <v>—</v>
      </c>
      <c r="T413" s="42" t="str">
        <f aca="false">IF(ISNUMBER($AF413),INDEX(IDX_SrcGrade,$AF413),"—")</f>
        <v>—</v>
      </c>
      <c r="U413" s="42" t="s">
        <v>3886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2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2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4867</v>
      </c>
      <c r="B414" s="224" t="s">
        <v>3880</v>
      </c>
      <c r="C414" s="28" t="s">
        <v>4838</v>
      </c>
      <c r="D414" s="28" t="s">
        <v>3897</v>
      </c>
      <c r="E414" s="6" t="s">
        <v>3492</v>
      </c>
      <c r="F414" s="28" t="s">
        <v>100</v>
      </c>
      <c r="G414" s="224" t="s">
        <v>85</v>
      </c>
      <c r="H414" s="28" t="s">
        <v>620</v>
      </c>
      <c r="I414" s="6" t="s">
        <v>620</v>
      </c>
      <c r="J414" s="28" t="s">
        <v>620</v>
      </c>
      <c r="K414" s="185" t="n">
        <f aca="false">NonNV!E9</f>
        <v>0.7</v>
      </c>
      <c r="L414" s="185" t="n">
        <f aca="false">NonNV!G9</f>
        <v>1</v>
      </c>
      <c r="M414" s="28" t="s">
        <v>620</v>
      </c>
      <c r="N414" s="225" t="str">
        <f aca="false">NonNV!$L$9</f>
        <v>無公開規格；沿用 v0.5「自研／其他 0.6（0.4–1.0）」</v>
      </c>
      <c r="O414" s="6" t="s">
        <v>620</v>
      </c>
      <c r="P414" s="224" t="s">
        <v>3885</v>
      </c>
      <c r="Q414" s="185" t="n">
        <f aca="false">NonNV!F9</f>
        <v>0.8</v>
      </c>
      <c r="R414" s="28" t="s">
        <v>620</v>
      </c>
      <c r="S414" s="42" t="str">
        <f aca="false">IF(ISNUMBER($AF414),INDEX(IDX_SrcStat,$AF414),"—")</f>
        <v>—</v>
      </c>
      <c r="T414" s="42" t="str">
        <f aca="false">IF(ISNUMBER($AF414),INDEX(IDX_SrcGrade,$AF414),"—")</f>
        <v>—</v>
      </c>
      <c r="U414" s="42" t="s">
        <v>3886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2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2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4868</v>
      </c>
      <c r="B415" s="224" t="s">
        <v>3880</v>
      </c>
      <c r="C415" s="28" t="s">
        <v>4838</v>
      </c>
      <c r="D415" s="28" t="s">
        <v>4869</v>
      </c>
      <c r="E415" s="6" t="s">
        <v>3492</v>
      </c>
      <c r="F415" s="28" t="s">
        <v>100</v>
      </c>
      <c r="G415" s="224" t="s">
        <v>1150</v>
      </c>
      <c r="H415" s="28" t="s">
        <v>620</v>
      </c>
      <c r="I415" s="6" t="s">
        <v>620</v>
      </c>
      <c r="J415" s="28" t="s">
        <v>620</v>
      </c>
      <c r="K415" s="224"/>
      <c r="L415" s="224"/>
      <c r="M415" s="28" t="s">
        <v>620</v>
      </c>
      <c r="N415" s="225" t="str">
        <f aca="false">NonNV!$L$9</f>
        <v>無公開規格；沿用 v0.5「自研／其他 0.6（0.4–1.0）」</v>
      </c>
      <c r="O415" s="6" t="s">
        <v>620</v>
      </c>
      <c r="P415" s="224" t="s">
        <v>3885</v>
      </c>
      <c r="Q415" s="185" t="n">
        <f aca="false">NonNV!B9</f>
        <v>0.4</v>
      </c>
      <c r="R415" s="28" t="s">
        <v>620</v>
      </c>
      <c r="S415" s="42" t="str">
        <f aca="false">IF(ISNUMBER($AF415),INDEX(IDX_SrcStat,$AF415),"—")</f>
        <v>—</v>
      </c>
      <c r="T415" s="42" t="str">
        <f aca="false">IF(ISNUMBER($AF415),INDEX(IDX_SrcGrade,$AF415),"—")</f>
        <v>—</v>
      </c>
      <c r="U415" s="42" t="s">
        <v>3886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2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2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4870</v>
      </c>
      <c r="B416" s="224" t="s">
        <v>3880</v>
      </c>
      <c r="C416" s="28" t="s">
        <v>4838</v>
      </c>
      <c r="D416" s="28" t="s">
        <v>3895</v>
      </c>
      <c r="E416" s="6" t="s">
        <v>3492</v>
      </c>
      <c r="F416" s="28" t="s">
        <v>100</v>
      </c>
      <c r="G416" s="224" t="s">
        <v>1151</v>
      </c>
      <c r="H416" s="28" t="s">
        <v>620</v>
      </c>
      <c r="I416" s="6" t="s">
        <v>620</v>
      </c>
      <c r="J416" s="28" t="s">
        <v>620</v>
      </c>
      <c r="K416" s="224"/>
      <c r="L416" s="224"/>
      <c r="M416" s="28" t="s">
        <v>620</v>
      </c>
      <c r="N416" s="225" t="str">
        <f aca="false">NonNV!$L$9</f>
        <v>無公開規格；沿用 v0.5「自研／其他 0.6（0.4–1.0）」</v>
      </c>
      <c r="O416" s="6" t="s">
        <v>620</v>
      </c>
      <c r="P416" s="224" t="s">
        <v>3885</v>
      </c>
      <c r="Q416" s="185" t="n">
        <f aca="false">NonNV!D9</f>
        <v>0.9</v>
      </c>
      <c r="R416" s="28" t="s">
        <v>620</v>
      </c>
      <c r="S416" s="42" t="str">
        <f aca="false">IF(ISNUMBER($AF416),INDEX(IDX_SrcStat,$AF416),"—")</f>
        <v>—</v>
      </c>
      <c r="T416" s="42" t="str">
        <f aca="false">IF(ISNUMBER($AF416),INDEX(IDX_SrcGrade,$AF416),"—")</f>
        <v>—</v>
      </c>
      <c r="U416" s="42" t="s">
        <v>3886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2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2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4871</v>
      </c>
      <c r="B417" s="224" t="s">
        <v>3880</v>
      </c>
      <c r="C417" s="28" t="s">
        <v>4838</v>
      </c>
      <c r="D417" s="28" t="s">
        <v>3742</v>
      </c>
      <c r="E417" s="6" t="s">
        <v>3492</v>
      </c>
      <c r="F417" s="28" t="s">
        <v>100</v>
      </c>
      <c r="G417" s="224" t="s">
        <v>1150</v>
      </c>
      <c r="H417" s="28" t="s">
        <v>620</v>
      </c>
      <c r="I417" s="6" t="s">
        <v>620</v>
      </c>
      <c r="J417" s="28" t="s">
        <v>620</v>
      </c>
      <c r="K417" s="224"/>
      <c r="L417" s="224"/>
      <c r="M417" s="28" t="s">
        <v>620</v>
      </c>
      <c r="N417" s="225" t="str">
        <f aca="false">NonNV!$L$9</f>
        <v>無公開規格；沿用 v0.5「自研／其他 0.6（0.4–1.0）」</v>
      </c>
      <c r="O417" s="6" t="s">
        <v>620</v>
      </c>
      <c r="P417" s="224" t="s">
        <v>3885</v>
      </c>
      <c r="Q417" s="185" t="n">
        <f aca="false">NonNV!E9</f>
        <v>0.7</v>
      </c>
      <c r="R417" s="28" t="s">
        <v>620</v>
      </c>
      <c r="S417" s="42" t="str">
        <f aca="false">IF(ISNUMBER($AF417),INDEX(IDX_SrcStat,$AF417),"—")</f>
        <v>—</v>
      </c>
      <c r="T417" s="42" t="str">
        <f aca="false">IF(ISNUMBER($AF417),INDEX(IDX_SrcGrade,$AF417),"—")</f>
        <v>—</v>
      </c>
      <c r="U417" s="42" t="s">
        <v>3886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2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2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4872</v>
      </c>
      <c r="B418" s="224" t="s">
        <v>3880</v>
      </c>
      <c r="C418" s="28" t="s">
        <v>4838</v>
      </c>
      <c r="D418" s="28" t="s">
        <v>4087</v>
      </c>
      <c r="E418" s="6" t="s">
        <v>3492</v>
      </c>
      <c r="F418" s="28" t="s">
        <v>100</v>
      </c>
      <c r="G418" s="224" t="s">
        <v>1151</v>
      </c>
      <c r="H418" s="28" t="s">
        <v>620</v>
      </c>
      <c r="I418" s="6" t="s">
        <v>620</v>
      </c>
      <c r="J418" s="28" t="s">
        <v>620</v>
      </c>
      <c r="K418" s="224"/>
      <c r="L418" s="224"/>
      <c r="M418" s="28" t="s">
        <v>620</v>
      </c>
      <c r="N418" s="225" t="str">
        <f aca="false">NonNV!$L$9</f>
        <v>無公開規格；沿用 v0.5「自研／其他 0.6（0.4–1.0）」</v>
      </c>
      <c r="O418" s="6" t="s">
        <v>620</v>
      </c>
      <c r="P418" s="224" t="s">
        <v>3885</v>
      </c>
      <c r="Q418" s="185" t="n">
        <f aca="false">NonNV!G9</f>
        <v>1</v>
      </c>
      <c r="R418" s="28" t="s">
        <v>620</v>
      </c>
      <c r="S418" s="42" t="str">
        <f aca="false">IF(ISNUMBER($AF418),INDEX(IDX_SrcStat,$AF418),"—")</f>
        <v>—</v>
      </c>
      <c r="T418" s="42" t="str">
        <f aca="false">IF(ISNUMBER($AF418),INDEX(IDX_SrcGrade,$AF418),"—")</f>
        <v>—</v>
      </c>
      <c r="U418" s="42" t="s">
        <v>3886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2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2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4873</v>
      </c>
      <c r="B419" s="224" t="s">
        <v>3880</v>
      </c>
      <c r="C419" s="28" t="s">
        <v>4874</v>
      </c>
      <c r="D419" s="28" t="s">
        <v>4875</v>
      </c>
      <c r="E419" s="19" t="s">
        <v>452</v>
      </c>
      <c r="F419" s="224" t="s">
        <v>4635</v>
      </c>
      <c r="G419" s="224" t="s">
        <v>4636</v>
      </c>
      <c r="H419" s="28" t="s">
        <v>620</v>
      </c>
      <c r="I419" s="6" t="s">
        <v>620</v>
      </c>
      <c r="J419" s="28" t="s">
        <v>620</v>
      </c>
      <c r="K419" s="224"/>
      <c r="L419" s="224"/>
      <c r="M419" s="28" t="s">
        <v>620</v>
      </c>
      <c r="N419" s="19" t="s">
        <v>4876</v>
      </c>
      <c r="O419" s="6" t="s">
        <v>620</v>
      </c>
      <c r="P419" s="28" t="s">
        <v>620</v>
      </c>
      <c r="Q419" s="177" t="s">
        <v>620</v>
      </c>
      <c r="R419" s="28" t="s">
        <v>620</v>
      </c>
      <c r="S419" s="42" t="str">
        <f aca="false">IF(ISNUMBER($AF419),INDEX(IDX_SrcStat,$AF419),"—")</f>
        <v>—</v>
      </c>
      <c r="T419" s="42" t="str">
        <f aca="false">IF(ISNUMBER($AF419),INDEX(IDX_SrcGrade,$AF419),"—")</f>
        <v>—</v>
      </c>
      <c r="U419" s="28" t="s">
        <v>620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2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2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4877</v>
      </c>
      <c r="B420" s="224" t="s">
        <v>3880</v>
      </c>
      <c r="C420" s="28" t="s">
        <v>4874</v>
      </c>
      <c r="D420" s="28" t="s">
        <v>4878</v>
      </c>
      <c r="E420" s="19" t="s">
        <v>723</v>
      </c>
      <c r="F420" s="224" t="s">
        <v>4635</v>
      </c>
      <c r="G420" s="224" t="s">
        <v>4636</v>
      </c>
      <c r="H420" s="28" t="s">
        <v>620</v>
      </c>
      <c r="I420" s="6" t="s">
        <v>620</v>
      </c>
      <c r="J420" s="28" t="s">
        <v>620</v>
      </c>
      <c r="K420" s="224"/>
      <c r="L420" s="224"/>
      <c r="M420" s="28" t="s">
        <v>620</v>
      </c>
      <c r="N420" s="19" t="s">
        <v>4876</v>
      </c>
      <c r="O420" s="6" t="s">
        <v>620</v>
      </c>
      <c r="P420" s="28" t="s">
        <v>620</v>
      </c>
      <c r="Q420" s="177" t="s">
        <v>620</v>
      </c>
      <c r="R420" s="28" t="s">
        <v>620</v>
      </c>
      <c r="S420" s="42" t="str">
        <f aca="false">IF(ISNUMBER($AF420),INDEX(IDX_SrcStat,$AF420),"—")</f>
        <v>—</v>
      </c>
      <c r="T420" s="42" t="str">
        <f aca="false">IF(ISNUMBER($AF420),INDEX(IDX_SrcGrade,$AF420),"—")</f>
        <v>—</v>
      </c>
      <c r="U420" s="28" t="s">
        <v>620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2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2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4879</v>
      </c>
      <c r="B421" s="224" t="s">
        <v>3880</v>
      </c>
      <c r="C421" s="28" t="s">
        <v>3582</v>
      </c>
      <c r="D421" s="28" t="s">
        <v>4880</v>
      </c>
      <c r="E421" s="19" t="s">
        <v>452</v>
      </c>
      <c r="F421" s="224" t="s">
        <v>4635</v>
      </c>
      <c r="G421" s="224" t="s">
        <v>4636</v>
      </c>
      <c r="H421" s="28" t="s">
        <v>620</v>
      </c>
      <c r="I421" s="6" t="s">
        <v>620</v>
      </c>
      <c r="J421" s="28" t="s">
        <v>620</v>
      </c>
      <c r="K421" s="224"/>
      <c r="L421" s="224"/>
      <c r="M421" s="28" t="s">
        <v>620</v>
      </c>
      <c r="N421" s="19" t="s">
        <v>4876</v>
      </c>
      <c r="O421" s="6" t="s">
        <v>620</v>
      </c>
      <c r="P421" s="28" t="s">
        <v>620</v>
      </c>
      <c r="Q421" s="177" t="s">
        <v>620</v>
      </c>
      <c r="R421" s="28" t="s">
        <v>620</v>
      </c>
      <c r="S421" s="42" t="str">
        <f aca="false">IF(ISNUMBER($AF421),INDEX(IDX_SrcStat,$AF421),"—")</f>
        <v>—</v>
      </c>
      <c r="T421" s="42" t="str">
        <f aca="false">IF(ISNUMBER($AF421),INDEX(IDX_SrcGrade,$AF421),"—")</f>
        <v>—</v>
      </c>
      <c r="U421" s="28" t="s">
        <v>620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2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2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4881</v>
      </c>
      <c r="B422" s="224" t="s">
        <v>3880</v>
      </c>
      <c r="C422" s="28" t="s">
        <v>3582</v>
      </c>
      <c r="D422" s="28" t="s">
        <v>4882</v>
      </c>
      <c r="E422" s="19" t="s">
        <v>723</v>
      </c>
      <c r="F422" s="224" t="s">
        <v>4635</v>
      </c>
      <c r="G422" s="224" t="s">
        <v>4636</v>
      </c>
      <c r="H422" s="28" t="s">
        <v>620</v>
      </c>
      <c r="I422" s="6" t="s">
        <v>620</v>
      </c>
      <c r="J422" s="28" t="s">
        <v>620</v>
      </c>
      <c r="K422" s="224"/>
      <c r="L422" s="224"/>
      <c r="M422" s="28" t="s">
        <v>620</v>
      </c>
      <c r="N422" s="19" t="s">
        <v>4876</v>
      </c>
      <c r="O422" s="6" t="s">
        <v>620</v>
      </c>
      <c r="P422" s="28" t="s">
        <v>620</v>
      </c>
      <c r="Q422" s="177" t="s">
        <v>620</v>
      </c>
      <c r="R422" s="28" t="s">
        <v>620</v>
      </c>
      <c r="S422" s="42" t="str">
        <f aca="false">IF(ISNUMBER($AF422),INDEX(IDX_SrcStat,$AF422),"—")</f>
        <v>—</v>
      </c>
      <c r="T422" s="42" t="str">
        <f aca="false">IF(ISNUMBER($AF422),INDEX(IDX_SrcGrade,$AF422),"—")</f>
        <v>—</v>
      </c>
      <c r="U422" s="28" t="s">
        <v>620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2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2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4883</v>
      </c>
      <c r="B423" s="224" t="s">
        <v>3880</v>
      </c>
      <c r="C423" s="28" t="s">
        <v>3582</v>
      </c>
      <c r="D423" s="28" t="s">
        <v>4884</v>
      </c>
      <c r="E423" s="19" t="s">
        <v>475</v>
      </c>
      <c r="F423" s="224" t="s">
        <v>4747</v>
      </c>
      <c r="G423" s="224" t="s">
        <v>4636</v>
      </c>
      <c r="H423" s="28" t="s">
        <v>620</v>
      </c>
      <c r="I423" s="6" t="s">
        <v>620</v>
      </c>
      <c r="J423" s="28" t="s">
        <v>620</v>
      </c>
      <c r="K423" s="224"/>
      <c r="L423" s="224"/>
      <c r="M423" s="28" t="s">
        <v>620</v>
      </c>
      <c r="N423" s="19" t="s">
        <v>4885</v>
      </c>
      <c r="O423" s="6" t="s">
        <v>620</v>
      </c>
      <c r="P423" s="224" t="s">
        <v>3885</v>
      </c>
      <c r="Q423" s="44" t="n">
        <f aca="false">Sens_Perf!M14</f>
        <v>50</v>
      </c>
      <c r="R423" s="28" t="s">
        <v>620</v>
      </c>
      <c r="S423" s="42" t="str">
        <f aca="false">IF(ISNUMBER($AF423),INDEX(IDX_SrcStat,$AF423),"—")</f>
        <v>—</v>
      </c>
      <c r="T423" s="42" t="str">
        <f aca="false">IF(ISNUMBER($AF423),INDEX(IDX_SrcGrade,$AF423),"—")</f>
        <v>—</v>
      </c>
      <c r="U423" s="42" t="s">
        <v>3886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2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2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4886</v>
      </c>
      <c r="B424" s="224" t="s">
        <v>3880</v>
      </c>
      <c r="C424" s="28" t="s">
        <v>3582</v>
      </c>
      <c r="D424" s="28" t="s">
        <v>4887</v>
      </c>
      <c r="E424" s="6" t="s">
        <v>371</v>
      </c>
      <c r="F424" s="224" t="s">
        <v>4747</v>
      </c>
      <c r="G424" s="224" t="s">
        <v>4636</v>
      </c>
      <c r="H424" s="28" t="s">
        <v>620</v>
      </c>
      <c r="I424" s="6" t="s">
        <v>620</v>
      </c>
      <c r="J424" s="28" t="s">
        <v>620</v>
      </c>
      <c r="K424" s="224"/>
      <c r="L424" s="224"/>
      <c r="M424" s="28" t="s">
        <v>620</v>
      </c>
      <c r="N424" s="19" t="s">
        <v>4885</v>
      </c>
      <c r="O424" s="6" t="s">
        <v>620</v>
      </c>
      <c r="P424" s="28" t="s">
        <v>620</v>
      </c>
      <c r="Q424" s="177" t="s">
        <v>620</v>
      </c>
      <c r="R424" s="28" t="s">
        <v>620</v>
      </c>
      <c r="S424" s="42" t="str">
        <f aca="false">IF(ISNUMBER($AF424),INDEX(IDX_SrcStat,$AF424),"—")</f>
        <v>—</v>
      </c>
      <c r="T424" s="42" t="str">
        <f aca="false">IF(ISNUMBER($AF424),INDEX(IDX_SrcGrade,$AF424),"—")</f>
        <v>—</v>
      </c>
      <c r="U424" s="28" t="s">
        <v>620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2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2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4888</v>
      </c>
      <c r="B425" s="224" t="s">
        <v>3880</v>
      </c>
      <c r="C425" s="28" t="s">
        <v>3582</v>
      </c>
      <c r="D425" s="28" t="s">
        <v>4889</v>
      </c>
      <c r="E425" s="19" t="s">
        <v>4890</v>
      </c>
      <c r="F425" s="224" t="s">
        <v>4747</v>
      </c>
      <c r="G425" s="224" t="s">
        <v>4636</v>
      </c>
      <c r="H425" s="28" t="s">
        <v>620</v>
      </c>
      <c r="I425" s="6" t="s">
        <v>620</v>
      </c>
      <c r="J425" s="28" t="s">
        <v>620</v>
      </c>
      <c r="K425" s="224"/>
      <c r="L425" s="224"/>
      <c r="M425" s="28" t="s">
        <v>620</v>
      </c>
      <c r="N425" s="19" t="s">
        <v>4885</v>
      </c>
      <c r="O425" s="6" t="s">
        <v>620</v>
      </c>
      <c r="P425" s="28" t="s">
        <v>620</v>
      </c>
      <c r="Q425" s="177" t="s">
        <v>620</v>
      </c>
      <c r="R425" s="28" t="s">
        <v>620</v>
      </c>
      <c r="S425" s="42" t="str">
        <f aca="false">IF(ISNUMBER($AF425),INDEX(IDX_SrcStat,$AF425),"—")</f>
        <v>—</v>
      </c>
      <c r="T425" s="42" t="str">
        <f aca="false">IF(ISNUMBER($AF425),INDEX(IDX_SrcGrade,$AF425),"—")</f>
        <v>—</v>
      </c>
      <c r="U425" s="28" t="s">
        <v>620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2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2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4891</v>
      </c>
      <c r="B426" s="224" t="s">
        <v>3880</v>
      </c>
      <c r="C426" s="28" t="s">
        <v>3582</v>
      </c>
      <c r="D426" s="28" t="s">
        <v>4892</v>
      </c>
      <c r="E426" s="19" t="s">
        <v>752</v>
      </c>
      <c r="F426" s="224" t="s">
        <v>4747</v>
      </c>
      <c r="G426" s="224" t="s">
        <v>4636</v>
      </c>
      <c r="H426" s="28" t="s">
        <v>620</v>
      </c>
      <c r="I426" s="6" t="s">
        <v>620</v>
      </c>
      <c r="J426" s="28" t="s">
        <v>620</v>
      </c>
      <c r="K426" s="224"/>
      <c r="L426" s="224"/>
      <c r="M426" s="28" t="s">
        <v>620</v>
      </c>
      <c r="N426" s="19" t="s">
        <v>4885</v>
      </c>
      <c r="O426" s="6" t="s">
        <v>620</v>
      </c>
      <c r="P426" s="28" t="s">
        <v>620</v>
      </c>
      <c r="Q426" s="177" t="s">
        <v>620</v>
      </c>
      <c r="R426" s="28" t="s">
        <v>620</v>
      </c>
      <c r="S426" s="42" t="str">
        <f aca="false">IF(ISNUMBER($AF426),INDEX(IDX_SrcStat,$AF426),"—")</f>
        <v>—</v>
      </c>
      <c r="T426" s="42" t="str">
        <f aca="false">IF(ISNUMBER($AF426),INDEX(IDX_SrcGrade,$AF426),"—")</f>
        <v>—</v>
      </c>
      <c r="U426" s="28" t="s">
        <v>620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2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2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4893</v>
      </c>
      <c r="B427" s="224" t="s">
        <v>3880</v>
      </c>
      <c r="C427" s="28" t="s">
        <v>3582</v>
      </c>
      <c r="D427" s="28" t="s">
        <v>4894</v>
      </c>
      <c r="E427" s="19" t="s">
        <v>367</v>
      </c>
      <c r="F427" s="224" t="s">
        <v>4747</v>
      </c>
      <c r="G427" s="224" t="s">
        <v>4636</v>
      </c>
      <c r="H427" s="28" t="s">
        <v>620</v>
      </c>
      <c r="I427" s="6" t="s">
        <v>620</v>
      </c>
      <c r="J427" s="28" t="s">
        <v>620</v>
      </c>
      <c r="K427" s="224"/>
      <c r="L427" s="224"/>
      <c r="M427" s="28" t="s">
        <v>620</v>
      </c>
      <c r="N427" s="19" t="s">
        <v>4885</v>
      </c>
      <c r="O427" s="6" t="s">
        <v>620</v>
      </c>
      <c r="P427" s="28" t="s">
        <v>620</v>
      </c>
      <c r="Q427" s="177" t="s">
        <v>620</v>
      </c>
      <c r="R427" s="28" t="s">
        <v>620</v>
      </c>
      <c r="S427" s="42" t="str">
        <f aca="false">IF(ISNUMBER($AF427),INDEX(IDX_SrcStat,$AF427),"—")</f>
        <v>—</v>
      </c>
      <c r="T427" s="42" t="str">
        <f aca="false">IF(ISNUMBER($AF427),INDEX(IDX_SrcGrade,$AF427),"—")</f>
        <v>—</v>
      </c>
      <c r="U427" s="28" t="s">
        <v>620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2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2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4895</v>
      </c>
      <c r="B428" s="224" t="s">
        <v>3880</v>
      </c>
      <c r="C428" s="28" t="s">
        <v>3582</v>
      </c>
      <c r="D428" s="28" t="s">
        <v>4896</v>
      </c>
      <c r="E428" s="6" t="s">
        <v>755</v>
      </c>
      <c r="F428" s="224" t="s">
        <v>4747</v>
      </c>
      <c r="G428" s="224" t="s">
        <v>4636</v>
      </c>
      <c r="H428" s="28" t="s">
        <v>620</v>
      </c>
      <c r="I428" s="6" t="s">
        <v>620</v>
      </c>
      <c r="J428" s="28" t="s">
        <v>620</v>
      </c>
      <c r="K428" s="224"/>
      <c r="L428" s="224"/>
      <c r="M428" s="28" t="s">
        <v>620</v>
      </c>
      <c r="N428" s="19" t="s">
        <v>4885</v>
      </c>
      <c r="O428" s="6" t="s">
        <v>620</v>
      </c>
      <c r="P428" s="28" t="s">
        <v>620</v>
      </c>
      <c r="Q428" s="177" t="s">
        <v>620</v>
      </c>
      <c r="R428" s="28" t="s">
        <v>620</v>
      </c>
      <c r="S428" s="42" t="str">
        <f aca="false">IF(ISNUMBER($AF428),INDEX(IDX_SrcStat,$AF428),"—")</f>
        <v>—</v>
      </c>
      <c r="T428" s="42" t="str">
        <f aca="false">IF(ISNUMBER($AF428),INDEX(IDX_SrcGrade,$AF428),"—")</f>
        <v>—</v>
      </c>
      <c r="U428" s="28" t="s">
        <v>620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2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2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4897</v>
      </c>
      <c r="B429" s="224" t="s">
        <v>3880</v>
      </c>
      <c r="C429" s="28" t="s">
        <v>3582</v>
      </c>
      <c r="D429" s="28" t="s">
        <v>4898</v>
      </c>
      <c r="E429" s="19" t="s">
        <v>4899</v>
      </c>
      <c r="F429" s="224" t="s">
        <v>4747</v>
      </c>
      <c r="G429" s="224" t="s">
        <v>4636</v>
      </c>
      <c r="H429" s="28" t="s">
        <v>620</v>
      </c>
      <c r="I429" s="6" t="s">
        <v>620</v>
      </c>
      <c r="J429" s="28" t="s">
        <v>620</v>
      </c>
      <c r="K429" s="224"/>
      <c r="L429" s="224"/>
      <c r="M429" s="28" t="s">
        <v>620</v>
      </c>
      <c r="N429" s="19" t="s">
        <v>4885</v>
      </c>
      <c r="O429" s="6" t="s">
        <v>620</v>
      </c>
      <c r="P429" s="28" t="s">
        <v>620</v>
      </c>
      <c r="Q429" s="177" t="s">
        <v>620</v>
      </c>
      <c r="R429" s="28" t="s">
        <v>620</v>
      </c>
      <c r="S429" s="42" t="str">
        <f aca="false">IF(ISNUMBER($AF429),INDEX(IDX_SrcStat,$AF429),"—")</f>
        <v>—</v>
      </c>
      <c r="T429" s="42" t="str">
        <f aca="false">IF(ISNUMBER($AF429),INDEX(IDX_SrcGrade,$AF429),"—")</f>
        <v>—</v>
      </c>
      <c r="U429" s="28" t="s">
        <v>620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2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2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4900</v>
      </c>
      <c r="B430" s="224" t="s">
        <v>3880</v>
      </c>
      <c r="C430" s="28" t="s">
        <v>4901</v>
      </c>
      <c r="D430" s="28" t="s">
        <v>4875</v>
      </c>
      <c r="E430" s="19" t="s">
        <v>452</v>
      </c>
      <c r="F430" s="224" t="s">
        <v>4635</v>
      </c>
      <c r="G430" s="224" t="s">
        <v>4636</v>
      </c>
      <c r="H430" s="28" t="s">
        <v>620</v>
      </c>
      <c r="I430" s="6" t="s">
        <v>620</v>
      </c>
      <c r="J430" s="28" t="s">
        <v>620</v>
      </c>
      <c r="K430" s="224"/>
      <c r="L430" s="224"/>
      <c r="M430" s="28" t="s">
        <v>620</v>
      </c>
      <c r="N430" s="19" t="s">
        <v>4876</v>
      </c>
      <c r="O430" s="6" t="s">
        <v>620</v>
      </c>
      <c r="P430" s="28" t="s">
        <v>620</v>
      </c>
      <c r="Q430" s="177" t="s">
        <v>620</v>
      </c>
      <c r="R430" s="28" t="s">
        <v>620</v>
      </c>
      <c r="S430" s="42" t="str">
        <f aca="false">IF(ISNUMBER($AF430),INDEX(IDX_SrcStat,$AF430),"—")</f>
        <v>—</v>
      </c>
      <c r="T430" s="42" t="str">
        <f aca="false">IF(ISNUMBER($AF430),INDEX(IDX_SrcGrade,$AF430),"—")</f>
        <v>—</v>
      </c>
      <c r="U430" s="28" t="s">
        <v>620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2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2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4902</v>
      </c>
      <c r="B431" s="224" t="s">
        <v>4903</v>
      </c>
      <c r="C431" s="28" t="s">
        <v>4904</v>
      </c>
      <c r="D431" s="28" t="s">
        <v>4191</v>
      </c>
      <c r="E431" s="19" t="s">
        <v>4905</v>
      </c>
      <c r="F431" s="224" t="s">
        <v>332</v>
      </c>
      <c r="G431" s="224" t="s">
        <v>3882</v>
      </c>
      <c r="H431" s="28" t="s">
        <v>4906</v>
      </c>
      <c r="I431" s="19" t="s">
        <v>3917</v>
      </c>
      <c r="J431" s="28" t="s">
        <v>620</v>
      </c>
      <c r="K431" s="224"/>
      <c r="L431" s="224"/>
      <c r="M431" s="28" t="s">
        <v>620</v>
      </c>
      <c r="N431" s="19" t="s">
        <v>4020</v>
      </c>
      <c r="O431" s="6" t="s">
        <v>620</v>
      </c>
      <c r="P431" s="224" t="s">
        <v>1151</v>
      </c>
      <c r="Q431" s="188" t="n">
        <f aca="false">Train_In!C25</f>
        <v>32</v>
      </c>
      <c r="R431" s="177" t="n">
        <f aca="false">SRC_MOD_029</f>
        <v>32</v>
      </c>
      <c r="S431" s="42" t="str">
        <f aca="false">IF(ISNUMBER($AF431),INDEX(IDX_SrcStat,$AF431),"—")</f>
        <v>Active</v>
      </c>
      <c r="T431" s="42" t="n">
        <f aca="false">IF(ISNUMBER($AF431),INDEX(IDX_SrcGrade,$AF431),"—")</f>
        <v>1</v>
      </c>
      <c r="U431" s="42" t="s">
        <v>3919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2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2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4907</v>
      </c>
      <c r="B432" s="224" t="s">
        <v>4903</v>
      </c>
      <c r="C432" s="28" t="s">
        <v>4904</v>
      </c>
      <c r="D432" s="28" t="s">
        <v>4194</v>
      </c>
      <c r="E432" s="19" t="s">
        <v>4905</v>
      </c>
      <c r="F432" s="224" t="s">
        <v>332</v>
      </c>
      <c r="G432" s="224" t="s">
        <v>3882</v>
      </c>
      <c r="H432" s="28" t="s">
        <v>4908</v>
      </c>
      <c r="I432" s="19" t="s">
        <v>3917</v>
      </c>
      <c r="J432" s="28" t="s">
        <v>620</v>
      </c>
      <c r="K432" s="224"/>
      <c r="L432" s="224"/>
      <c r="M432" s="28" t="s">
        <v>620</v>
      </c>
      <c r="N432" s="19" t="s">
        <v>4020</v>
      </c>
      <c r="O432" s="6" t="s">
        <v>620</v>
      </c>
      <c r="P432" s="224" t="s">
        <v>1151</v>
      </c>
      <c r="Q432" s="188" t="n">
        <f aca="false">Train_In!D25</f>
        <v>33</v>
      </c>
      <c r="R432" s="177" t="n">
        <f aca="false">SRC_MOD_030</f>
        <v>33</v>
      </c>
      <c r="S432" s="42" t="str">
        <f aca="false">IF(ISNUMBER($AF432),INDEX(IDX_SrcStat,$AF432),"—")</f>
        <v>Active</v>
      </c>
      <c r="T432" s="42" t="n">
        <f aca="false">IF(ISNUMBER($AF432),INDEX(IDX_SrcGrade,$AF432),"—")</f>
        <v>1</v>
      </c>
      <c r="U432" s="42" t="s">
        <v>3919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2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2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4909</v>
      </c>
      <c r="B433" s="224" t="s">
        <v>4903</v>
      </c>
      <c r="C433" s="28" t="s">
        <v>4904</v>
      </c>
      <c r="D433" s="28" t="s">
        <v>4207</v>
      </c>
      <c r="E433" s="19" t="s">
        <v>4910</v>
      </c>
      <c r="F433" s="224" t="s">
        <v>332</v>
      </c>
      <c r="G433" s="224" t="s">
        <v>3882</v>
      </c>
      <c r="H433" s="28" t="s">
        <v>4911</v>
      </c>
      <c r="I433" s="19" t="s">
        <v>3917</v>
      </c>
      <c r="J433" s="28" t="s">
        <v>620</v>
      </c>
      <c r="K433" s="224"/>
      <c r="L433" s="224"/>
      <c r="M433" s="28" t="s">
        <v>620</v>
      </c>
      <c r="N433" s="19" t="s">
        <v>4020</v>
      </c>
      <c r="O433" s="6" t="s">
        <v>620</v>
      </c>
      <c r="P433" s="224" t="s">
        <v>3941</v>
      </c>
      <c r="Q433" s="47" t="n">
        <f aca="false">Train_In!C26</f>
        <v>4096</v>
      </c>
      <c r="R433" s="177" t="n">
        <f aca="false">SRC_MOD_031</f>
        <v>4096</v>
      </c>
      <c r="S433" s="42" t="str">
        <f aca="false">IF(ISNUMBER($AF433),INDEX(IDX_SrcStat,$AF433),"—")</f>
        <v>Active</v>
      </c>
      <c r="T433" s="42" t="n">
        <f aca="false">IF(ISNUMBER($AF433),INDEX(IDX_SrcGrade,$AF433),"—")</f>
        <v>1</v>
      </c>
      <c r="U433" s="42" t="s">
        <v>3919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2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2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4912</v>
      </c>
      <c r="B434" s="224" t="s">
        <v>4903</v>
      </c>
      <c r="C434" s="28" t="s">
        <v>4904</v>
      </c>
      <c r="D434" s="28" t="s">
        <v>4210</v>
      </c>
      <c r="E434" s="19" t="s">
        <v>4910</v>
      </c>
      <c r="F434" s="224" t="s">
        <v>332</v>
      </c>
      <c r="G434" s="224" t="s">
        <v>3882</v>
      </c>
      <c r="H434" s="28" t="s">
        <v>4911</v>
      </c>
      <c r="I434" s="19" t="s">
        <v>3917</v>
      </c>
      <c r="J434" s="28" t="s">
        <v>620</v>
      </c>
      <c r="K434" s="224"/>
      <c r="L434" s="224"/>
      <c r="M434" s="28" t="s">
        <v>620</v>
      </c>
      <c r="N434" s="19" t="s">
        <v>4020</v>
      </c>
      <c r="O434" s="6" t="s">
        <v>620</v>
      </c>
      <c r="P434" s="224" t="s">
        <v>3941</v>
      </c>
      <c r="Q434" s="47" t="n">
        <f aca="false">Train_In!D26</f>
        <v>4096</v>
      </c>
      <c r="R434" s="177" t="n">
        <f aca="false">SRC_MOD_031</f>
        <v>4096</v>
      </c>
      <c r="S434" s="42" t="str">
        <f aca="false">IF(ISNUMBER($AF434),INDEX(IDX_SrcStat,$AF434),"—")</f>
        <v>Active</v>
      </c>
      <c r="T434" s="42" t="n">
        <f aca="false">IF(ISNUMBER($AF434),INDEX(IDX_SrcGrade,$AF434),"—")</f>
        <v>1</v>
      </c>
      <c r="U434" s="42" t="s">
        <v>3919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2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2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4913</v>
      </c>
      <c r="B435" s="224" t="s">
        <v>4903</v>
      </c>
      <c r="C435" s="28" t="s">
        <v>4904</v>
      </c>
      <c r="D435" s="28" t="s">
        <v>4352</v>
      </c>
      <c r="E435" s="6" t="s">
        <v>979</v>
      </c>
      <c r="F435" s="224" t="s">
        <v>332</v>
      </c>
      <c r="G435" s="224" t="s">
        <v>3882</v>
      </c>
      <c r="H435" s="28" t="s">
        <v>4914</v>
      </c>
      <c r="I435" s="19" t="s">
        <v>3917</v>
      </c>
      <c r="J435" s="28" t="s">
        <v>620</v>
      </c>
      <c r="K435" s="224"/>
      <c r="L435" s="224"/>
      <c r="M435" s="28" t="s">
        <v>620</v>
      </c>
      <c r="N435" s="19" t="s">
        <v>4020</v>
      </c>
      <c r="O435" s="6" t="s">
        <v>620</v>
      </c>
      <c r="P435" s="224" t="s">
        <v>3885</v>
      </c>
      <c r="Q435" s="188" t="n">
        <f aca="false">Train_In!C41</f>
        <v>14.8</v>
      </c>
      <c r="R435" s="177" t="n">
        <f aca="false">SRC_MOD_039</f>
        <v>14.8</v>
      </c>
      <c r="S435" s="42" t="str">
        <f aca="false">IF(ISNUMBER($AF435),INDEX(IDX_SrcStat,$AF435),"—")</f>
        <v>Active</v>
      </c>
      <c r="T435" s="42" t="n">
        <f aca="false">IF(ISNUMBER($AF435),INDEX(IDX_SrcGrade,$AF435),"—")</f>
        <v>3</v>
      </c>
      <c r="U435" s="42" t="s">
        <v>3919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2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2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4915</v>
      </c>
      <c r="B436" s="224" t="s">
        <v>4903</v>
      </c>
      <c r="C436" s="28" t="s">
        <v>4904</v>
      </c>
      <c r="D436" s="28" t="s">
        <v>4916</v>
      </c>
      <c r="E436" s="6" t="s">
        <v>981</v>
      </c>
      <c r="F436" s="224" t="s">
        <v>332</v>
      </c>
      <c r="G436" s="224" t="s">
        <v>3882</v>
      </c>
      <c r="H436" s="28" t="s">
        <v>4917</v>
      </c>
      <c r="I436" s="19" t="s">
        <v>3917</v>
      </c>
      <c r="J436" s="28" t="s">
        <v>620</v>
      </c>
      <c r="K436" s="224"/>
      <c r="L436" s="224"/>
      <c r="M436" s="28" t="s">
        <v>620</v>
      </c>
      <c r="N436" s="19" t="s">
        <v>4020</v>
      </c>
      <c r="O436" s="6" t="s">
        <v>620</v>
      </c>
      <c r="P436" s="224" t="s">
        <v>3885</v>
      </c>
      <c r="Q436" s="44" t="n">
        <f aca="false">Train_In!C42</f>
        <v>2.664</v>
      </c>
      <c r="R436" s="177" t="n">
        <f aca="false">SRC_MOD_040</f>
        <v>2.664</v>
      </c>
      <c r="S436" s="42" t="str">
        <f aca="false">IF(ISNUMBER($AF436),INDEX(IDX_SrcStat,$AF436),"—")</f>
        <v>Active</v>
      </c>
      <c r="T436" s="42" t="n">
        <f aca="false">IF(ISNUMBER($AF436),INDEX(IDX_SrcGrade,$AF436),"—")</f>
        <v>3</v>
      </c>
      <c r="U436" s="42" t="s">
        <v>3919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2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2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4918</v>
      </c>
      <c r="B437" s="224" t="s">
        <v>4903</v>
      </c>
      <c r="C437" s="28" t="s">
        <v>4904</v>
      </c>
      <c r="D437" s="28" t="s">
        <v>4919</v>
      </c>
      <c r="E437" s="6" t="s">
        <v>984</v>
      </c>
      <c r="F437" s="224" t="s">
        <v>332</v>
      </c>
      <c r="G437" s="224" t="s">
        <v>3882</v>
      </c>
      <c r="H437" s="28" t="s">
        <v>4920</v>
      </c>
      <c r="I437" s="19" t="s">
        <v>3917</v>
      </c>
      <c r="J437" s="28" t="s">
        <v>620</v>
      </c>
      <c r="K437" s="224"/>
      <c r="L437" s="224"/>
      <c r="M437" s="28" t="s">
        <v>620</v>
      </c>
      <c r="N437" s="19" t="s">
        <v>4020</v>
      </c>
      <c r="O437" s="6" t="s">
        <v>620</v>
      </c>
      <c r="P437" s="224" t="s">
        <v>3885</v>
      </c>
      <c r="Q437" s="47" t="n">
        <f aca="false">Train_In!C43</f>
        <v>4096</v>
      </c>
      <c r="R437" s="177" t="n">
        <f aca="false">SRC_MOD_042</f>
        <v>4096</v>
      </c>
      <c r="S437" s="42" t="str">
        <f aca="false">IF(ISNUMBER($AF437),INDEX(IDX_SrcStat,$AF437),"—")</f>
        <v>Active</v>
      </c>
      <c r="T437" s="42" t="n">
        <f aca="false">IF(ISNUMBER($AF437),INDEX(IDX_SrcGrade,$AF437),"—")</f>
        <v>3</v>
      </c>
      <c r="U437" s="42" t="s">
        <v>3919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2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2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4921</v>
      </c>
      <c r="B438" s="224" t="s">
        <v>4903</v>
      </c>
      <c r="C438" s="28" t="s">
        <v>4904</v>
      </c>
      <c r="D438" s="28" t="s">
        <v>4922</v>
      </c>
      <c r="E438" s="6" t="s">
        <v>988</v>
      </c>
      <c r="F438" s="224" t="s">
        <v>332</v>
      </c>
      <c r="G438" s="224" t="s">
        <v>3882</v>
      </c>
      <c r="H438" s="28" t="s">
        <v>2911</v>
      </c>
      <c r="I438" s="19" t="s">
        <v>3917</v>
      </c>
      <c r="J438" s="28" t="s">
        <v>620</v>
      </c>
      <c r="K438" s="224"/>
      <c r="L438" s="224"/>
      <c r="M438" s="28" t="s">
        <v>620</v>
      </c>
      <c r="N438" s="19" t="s">
        <v>4020</v>
      </c>
      <c r="O438" s="6" t="s">
        <v>620</v>
      </c>
      <c r="P438" s="224" t="s">
        <v>3885</v>
      </c>
      <c r="Q438" s="192" t="n">
        <f aca="false">Train_In!C45</f>
        <v>1</v>
      </c>
      <c r="R438" s="177" t="n">
        <f aca="false">SRC_MOD_036</f>
        <v>1</v>
      </c>
      <c r="S438" s="42" t="str">
        <f aca="false">IF(ISNUMBER($AF438),INDEX(IDX_SrcStat,$AF438),"—")</f>
        <v>Active</v>
      </c>
      <c r="T438" s="42" t="n">
        <f aca="false">IF(ISNUMBER($AF438),INDEX(IDX_SrcGrade,$AF438),"—")</f>
        <v>1</v>
      </c>
      <c r="U438" s="42" t="s">
        <v>3919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2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2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4923</v>
      </c>
      <c r="B439" s="224" t="s">
        <v>4903</v>
      </c>
      <c r="C439" s="28" t="s">
        <v>24</v>
      </c>
      <c r="D439" s="28" t="s">
        <v>4924</v>
      </c>
      <c r="E439" s="6" t="s">
        <v>667</v>
      </c>
      <c r="F439" s="224" t="s">
        <v>332</v>
      </c>
      <c r="G439" s="224" t="s">
        <v>3882</v>
      </c>
      <c r="H439" s="28" t="s">
        <v>4925</v>
      </c>
      <c r="I439" s="19" t="s">
        <v>4926</v>
      </c>
      <c r="J439" s="28" t="s">
        <v>620</v>
      </c>
      <c r="K439" s="224"/>
      <c r="L439" s="224"/>
      <c r="M439" s="28" t="s">
        <v>620</v>
      </c>
      <c r="N439" s="6" t="s">
        <v>4927</v>
      </c>
      <c r="O439" s="6" t="s">
        <v>620</v>
      </c>
      <c r="P439" s="224" t="s">
        <v>3885</v>
      </c>
      <c r="Q439" s="31" t="n">
        <f aca="false">Tech_Registry!J14</f>
        <v>4</v>
      </c>
      <c r="R439" s="177" t="n">
        <f aca="false">SRC_MOD_043</f>
        <v>1</v>
      </c>
      <c r="S439" s="42" t="str">
        <f aca="false">IF(ISNUMBER($AF439),INDEX(IDX_SrcStat,$AF439),"—")</f>
        <v>Active</v>
      </c>
      <c r="T439" s="42" t="n">
        <f aca="false">IF(ISNUMBER($AF439),INDEX(IDX_SrcGrade,$AF439),"—")</f>
        <v>1</v>
      </c>
      <c r="U439" s="42" t="s">
        <v>3919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2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2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4928</v>
      </c>
      <c r="B440" s="224" t="s">
        <v>3880</v>
      </c>
      <c r="C440" s="28" t="s">
        <v>4367</v>
      </c>
      <c r="D440" s="28" t="s">
        <v>4287</v>
      </c>
      <c r="E440" s="19" t="s">
        <v>4929</v>
      </c>
      <c r="F440" s="28" t="s">
        <v>100</v>
      </c>
      <c r="G440" s="224" t="s">
        <v>3882</v>
      </c>
      <c r="H440" s="28" t="s">
        <v>620</v>
      </c>
      <c r="I440" s="6" t="s">
        <v>620</v>
      </c>
      <c r="J440" s="28" t="s">
        <v>620</v>
      </c>
      <c r="K440" s="224"/>
      <c r="L440" s="224"/>
      <c r="M440" s="224" t="s">
        <v>3778</v>
      </c>
      <c r="N440" s="19" t="s">
        <v>4930</v>
      </c>
      <c r="O440" s="6" t="s">
        <v>620</v>
      </c>
      <c r="P440" s="224" t="s">
        <v>3885</v>
      </c>
      <c r="Q440" s="47" t="n">
        <f aca="false">Arch!C32</f>
        <v>128000</v>
      </c>
      <c r="R440" s="28" t="s">
        <v>620</v>
      </c>
      <c r="S440" s="42" t="str">
        <f aca="false">IF(ISNUMBER($AF440),INDEX(IDX_SrcStat,$AF440),"—")</f>
        <v>—</v>
      </c>
      <c r="T440" s="42" t="str">
        <f aca="false">IF(ISNUMBER($AF440),INDEX(IDX_SrcGrade,$AF440),"—")</f>
        <v>—</v>
      </c>
      <c r="U440" s="42" t="s">
        <v>3886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2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2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4931</v>
      </c>
      <c r="B441" s="224" t="s">
        <v>4932</v>
      </c>
      <c r="C441" s="28" t="s">
        <v>4933</v>
      </c>
      <c r="D441" s="28" t="s">
        <v>4934</v>
      </c>
      <c r="E441" s="19" t="s">
        <v>4935</v>
      </c>
      <c r="F441" s="224" t="s">
        <v>4747</v>
      </c>
      <c r="G441" s="224" t="s">
        <v>4636</v>
      </c>
      <c r="H441" s="28" t="s">
        <v>620</v>
      </c>
      <c r="I441" s="6" t="s">
        <v>620</v>
      </c>
      <c r="J441" s="28" t="s">
        <v>620</v>
      </c>
      <c r="K441" s="224"/>
      <c r="L441" s="224"/>
      <c r="M441" s="28" t="s">
        <v>620</v>
      </c>
      <c r="N441" s="6" t="s">
        <v>4936</v>
      </c>
      <c r="O441" s="6" t="s">
        <v>620</v>
      </c>
      <c r="P441" s="28" t="s">
        <v>620</v>
      </c>
      <c r="Q441" s="177" t="s">
        <v>620</v>
      </c>
      <c r="R441" s="28" t="s">
        <v>620</v>
      </c>
      <c r="S441" s="42" t="str">
        <f aca="false">IF(ISNUMBER($AF441),INDEX(IDX_SrcStat,$AF441),"—")</f>
        <v>—</v>
      </c>
      <c r="T441" s="42" t="str">
        <f aca="false">IF(ISNUMBER($AF441),INDEX(IDX_SrcGrade,$AF441),"—")</f>
        <v>—</v>
      </c>
      <c r="U441" s="28" t="s">
        <v>620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2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2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4937</v>
      </c>
      <c r="B442" s="224" t="s">
        <v>4932</v>
      </c>
      <c r="C442" s="28" t="s">
        <v>4933</v>
      </c>
      <c r="D442" s="28" t="s">
        <v>4938</v>
      </c>
      <c r="E442" s="19" t="s">
        <v>4939</v>
      </c>
      <c r="F442" s="224" t="s">
        <v>4747</v>
      </c>
      <c r="G442" s="224" t="s">
        <v>4636</v>
      </c>
      <c r="H442" s="28" t="s">
        <v>620</v>
      </c>
      <c r="I442" s="6" t="s">
        <v>620</v>
      </c>
      <c r="J442" s="28" t="s">
        <v>620</v>
      </c>
      <c r="K442" s="224"/>
      <c r="L442" s="224"/>
      <c r="M442" s="28" t="s">
        <v>620</v>
      </c>
      <c r="N442" s="6" t="s">
        <v>4940</v>
      </c>
      <c r="O442" s="6" t="s">
        <v>620</v>
      </c>
      <c r="P442" s="28" t="s">
        <v>620</v>
      </c>
      <c r="Q442" s="177" t="s">
        <v>620</v>
      </c>
      <c r="R442" s="28" t="s">
        <v>620</v>
      </c>
      <c r="S442" s="42" t="str">
        <f aca="false">IF(ISNUMBER($AF442),INDEX(IDX_SrcStat,$AF442),"—")</f>
        <v>—</v>
      </c>
      <c r="T442" s="42" t="str">
        <f aca="false">IF(ISNUMBER($AF442),INDEX(IDX_SrcGrade,$AF442),"—")</f>
        <v>—</v>
      </c>
      <c r="U442" s="28" t="s">
        <v>620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2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2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4941</v>
      </c>
      <c r="B443" s="224" t="s">
        <v>4932</v>
      </c>
      <c r="C443" s="28" t="s">
        <v>4942</v>
      </c>
      <c r="D443" s="28" t="s">
        <v>4943</v>
      </c>
      <c r="E443" s="6" t="s">
        <v>4944</v>
      </c>
      <c r="F443" s="224" t="s">
        <v>4747</v>
      </c>
      <c r="G443" s="224" t="s">
        <v>3882</v>
      </c>
      <c r="H443" s="28" t="s">
        <v>620</v>
      </c>
      <c r="I443" s="6" t="s">
        <v>620</v>
      </c>
      <c r="J443" s="28" t="s">
        <v>620</v>
      </c>
      <c r="K443" s="224"/>
      <c r="L443" s="224"/>
      <c r="M443" s="28" t="s">
        <v>620</v>
      </c>
      <c r="N443" s="6" t="s">
        <v>4945</v>
      </c>
      <c r="O443" s="6" t="s">
        <v>620</v>
      </c>
      <c r="P443" s="224" t="s">
        <v>3885</v>
      </c>
      <c r="Q443" s="185" t="n">
        <f aca="false">Sens_Rev!B18</f>
        <v>0.5</v>
      </c>
      <c r="R443" s="28" t="s">
        <v>620</v>
      </c>
      <c r="S443" s="42" t="str">
        <f aca="false">IF(ISNUMBER($AF443),INDEX(IDX_SrcStat,$AF443),"—")</f>
        <v>—</v>
      </c>
      <c r="T443" s="42" t="str">
        <f aca="false">IF(ISNUMBER($AF443),INDEX(IDX_SrcGrade,$AF443),"—")</f>
        <v>—</v>
      </c>
      <c r="U443" s="42" t="s">
        <v>3886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2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2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4946</v>
      </c>
      <c r="B444" s="224" t="s">
        <v>4932</v>
      </c>
      <c r="C444" s="28" t="s">
        <v>24</v>
      </c>
      <c r="D444" s="28" t="s">
        <v>4947</v>
      </c>
      <c r="E444" s="19" t="s">
        <v>4948</v>
      </c>
      <c r="F444" s="28" t="s">
        <v>92</v>
      </c>
      <c r="G444" s="224" t="s">
        <v>3882</v>
      </c>
      <c r="H444" s="28" t="s">
        <v>620</v>
      </c>
      <c r="I444" s="6" t="s">
        <v>620</v>
      </c>
      <c r="J444" s="28" t="s">
        <v>4924</v>
      </c>
      <c r="K444" s="224"/>
      <c r="L444" s="224"/>
      <c r="M444" s="28" t="s">
        <v>620</v>
      </c>
      <c r="N444" s="6" t="s">
        <v>4949</v>
      </c>
      <c r="O444" s="6" t="s">
        <v>620</v>
      </c>
      <c r="P444" s="224" t="s">
        <v>3885</v>
      </c>
      <c r="Q444" s="31" t="n">
        <f aca="false">Tech_Registry!J17</f>
        <v>2</v>
      </c>
      <c r="R444" s="28" t="s">
        <v>620</v>
      </c>
      <c r="S444" s="42" t="str">
        <f aca="false">IF(ISNUMBER($AF444),INDEX(IDX_SrcStat,$AF444),"—")</f>
        <v>—</v>
      </c>
      <c r="T444" s="42" t="str">
        <f aca="false">IF(ISNUMBER($AF444),INDEX(IDX_SrcGrade,$AF444),"—")</f>
        <v>—</v>
      </c>
      <c r="U444" s="42" t="s">
        <v>3886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2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2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4950</v>
      </c>
      <c r="B445" s="224" t="s">
        <v>4951</v>
      </c>
      <c r="C445" s="28" t="s">
        <v>4952</v>
      </c>
      <c r="D445" s="28" t="s">
        <v>4124</v>
      </c>
      <c r="E445" s="19" t="s">
        <v>4953</v>
      </c>
      <c r="F445" s="28" t="s">
        <v>100</v>
      </c>
      <c r="G445" s="224" t="s">
        <v>85</v>
      </c>
      <c r="H445" s="28" t="s">
        <v>620</v>
      </c>
      <c r="I445" s="6" t="s">
        <v>620</v>
      </c>
      <c r="J445" s="28" t="s">
        <v>620</v>
      </c>
      <c r="K445" s="187" t="n">
        <f aca="false">Cap_In!D12</f>
        <v>0.1</v>
      </c>
      <c r="L445" s="187" t="n">
        <f aca="false">Cap_In!E12</f>
        <v>0.4</v>
      </c>
      <c r="M445" s="28" t="s">
        <v>4954</v>
      </c>
      <c r="N445" s="19" t="s">
        <v>4955</v>
      </c>
      <c r="O445" s="6" t="s">
        <v>620</v>
      </c>
      <c r="P445" s="224" t="s">
        <v>3941</v>
      </c>
      <c r="Q445" s="187" t="n">
        <f aca="false">Cap_In!C12</f>
        <v>0.2</v>
      </c>
      <c r="R445" s="28" t="s">
        <v>620</v>
      </c>
      <c r="S445" s="42" t="str">
        <f aca="false">IF(ISNUMBER($AF445),INDEX(IDX_SrcStat,$AF445),"—")</f>
        <v>—</v>
      </c>
      <c r="T445" s="42" t="str">
        <f aca="false">IF(ISNUMBER($AF445),INDEX(IDX_SrcGrade,$AF445),"—")</f>
        <v>—</v>
      </c>
      <c r="U445" s="42" t="s">
        <v>3886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2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2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4956</v>
      </c>
      <c r="B446" s="224" t="s">
        <v>4951</v>
      </c>
      <c r="C446" s="28" t="s">
        <v>4952</v>
      </c>
      <c r="D446" s="28" t="s">
        <v>4957</v>
      </c>
      <c r="E446" s="19" t="s">
        <v>4953</v>
      </c>
      <c r="F446" s="28" t="s">
        <v>100</v>
      </c>
      <c r="G446" s="224" t="s">
        <v>4958</v>
      </c>
      <c r="H446" s="28" t="s">
        <v>620</v>
      </c>
      <c r="I446" s="6" t="s">
        <v>620</v>
      </c>
      <c r="J446" s="28" t="s">
        <v>620</v>
      </c>
      <c r="K446" s="224"/>
      <c r="L446" s="224"/>
      <c r="M446" s="28" t="s">
        <v>4959</v>
      </c>
      <c r="N446" s="19" t="s">
        <v>4955</v>
      </c>
      <c r="O446" s="6" t="s">
        <v>620</v>
      </c>
      <c r="P446" s="224" t="s">
        <v>3941</v>
      </c>
      <c r="Q446" s="177" t="s">
        <v>620</v>
      </c>
      <c r="R446" s="28" t="s">
        <v>620</v>
      </c>
      <c r="S446" s="42" t="str">
        <f aca="false">IF(ISNUMBER($AF446),INDEX(IDX_SrcStat,$AF446),"—")</f>
        <v>—</v>
      </c>
      <c r="T446" s="42" t="str">
        <f aca="false">IF(ISNUMBER($AF446),INDEX(IDX_SrcGrade,$AF446),"—")</f>
        <v>—</v>
      </c>
      <c r="U446" s="28" t="s">
        <v>620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2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2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4960</v>
      </c>
      <c r="B447" s="224" t="s">
        <v>4951</v>
      </c>
      <c r="C447" s="28" t="s">
        <v>4952</v>
      </c>
      <c r="D447" s="28" t="s">
        <v>4144</v>
      </c>
      <c r="E447" s="19" t="s">
        <v>4961</v>
      </c>
      <c r="F447" s="28" t="s">
        <v>100</v>
      </c>
      <c r="G447" s="224" t="s">
        <v>85</v>
      </c>
      <c r="H447" s="28" t="s">
        <v>620</v>
      </c>
      <c r="I447" s="6" t="s">
        <v>620</v>
      </c>
      <c r="J447" s="28" t="s">
        <v>620</v>
      </c>
      <c r="K447" s="187" t="n">
        <f aca="false">Cap_In!D13</f>
        <v>0.3</v>
      </c>
      <c r="L447" s="187" t="n">
        <f aca="false">Cap_In!E13</f>
        <v>0.75</v>
      </c>
      <c r="M447" s="28" t="s">
        <v>620</v>
      </c>
      <c r="N447" s="19" t="s">
        <v>4962</v>
      </c>
      <c r="O447" s="6" t="s">
        <v>620</v>
      </c>
      <c r="P447" s="224" t="s">
        <v>3941</v>
      </c>
      <c r="Q447" s="187" t="n">
        <f aca="false">Cap_In!C13</f>
        <v>0.55</v>
      </c>
      <c r="R447" s="28" t="s">
        <v>620</v>
      </c>
      <c r="S447" s="42" t="str">
        <f aca="false">IF(ISNUMBER($AF447),INDEX(IDX_SrcStat,$AF447),"—")</f>
        <v>—</v>
      </c>
      <c r="T447" s="42" t="str">
        <f aca="false">IF(ISNUMBER($AF447),INDEX(IDX_SrcGrade,$AF447),"—")</f>
        <v>—</v>
      </c>
      <c r="U447" s="42" t="s">
        <v>3886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2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2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4963</v>
      </c>
      <c r="B448" s="224" t="s">
        <v>4951</v>
      </c>
      <c r="C448" s="28" t="s">
        <v>4952</v>
      </c>
      <c r="D448" s="28" t="s">
        <v>4964</v>
      </c>
      <c r="E448" s="19" t="s">
        <v>4961</v>
      </c>
      <c r="F448" s="28" t="s">
        <v>100</v>
      </c>
      <c r="G448" s="224" t="s">
        <v>4958</v>
      </c>
      <c r="H448" s="28" t="s">
        <v>620</v>
      </c>
      <c r="I448" s="6" t="s">
        <v>620</v>
      </c>
      <c r="J448" s="28" t="s">
        <v>620</v>
      </c>
      <c r="K448" s="224"/>
      <c r="L448" s="224"/>
      <c r="M448" s="28" t="s">
        <v>4965</v>
      </c>
      <c r="N448" s="19" t="s">
        <v>4962</v>
      </c>
      <c r="O448" s="6" t="s">
        <v>620</v>
      </c>
      <c r="P448" s="224" t="s">
        <v>3941</v>
      </c>
      <c r="Q448" s="177" t="s">
        <v>620</v>
      </c>
      <c r="R448" s="28" t="s">
        <v>620</v>
      </c>
      <c r="S448" s="42" t="str">
        <f aca="false">IF(ISNUMBER($AF448),INDEX(IDX_SrcStat,$AF448),"—")</f>
        <v>—</v>
      </c>
      <c r="T448" s="42" t="str">
        <f aca="false">IF(ISNUMBER($AF448),INDEX(IDX_SrcGrade,$AF448),"—")</f>
        <v>—</v>
      </c>
      <c r="U448" s="28" t="s">
        <v>620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2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2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4966</v>
      </c>
      <c r="B449" s="224" t="s">
        <v>4951</v>
      </c>
      <c r="C449" s="28" t="s">
        <v>4952</v>
      </c>
      <c r="D449" s="28" t="s">
        <v>4393</v>
      </c>
      <c r="E449" s="19" t="s">
        <v>4967</v>
      </c>
      <c r="F449" s="28" t="s">
        <v>92</v>
      </c>
      <c r="G449" s="224" t="s">
        <v>85</v>
      </c>
      <c r="H449" s="28" t="s">
        <v>620</v>
      </c>
      <c r="I449" s="6" t="s">
        <v>620</v>
      </c>
      <c r="J449" s="28" t="s">
        <v>3817</v>
      </c>
      <c r="K449" s="185" t="n">
        <f aca="false">Cap_In!D14</f>
        <v>0</v>
      </c>
      <c r="L449" s="185" t="n">
        <f aca="false">Cap_In!E14</f>
        <v>0.5</v>
      </c>
      <c r="M449" s="28" t="s">
        <v>620</v>
      </c>
      <c r="N449" s="6" t="s">
        <v>4968</v>
      </c>
      <c r="O449" s="6" t="s">
        <v>620</v>
      </c>
      <c r="P449" s="224" t="s">
        <v>3885</v>
      </c>
      <c r="Q449" s="185" t="n">
        <f aca="false">Cap_In!C14</f>
        <v>0</v>
      </c>
      <c r="R449" s="28" t="s">
        <v>620</v>
      </c>
      <c r="S449" s="42" t="str">
        <f aca="false">IF(ISNUMBER($AF449),INDEX(IDX_SrcStat,$AF449),"—")</f>
        <v>—</v>
      </c>
      <c r="T449" s="42" t="str">
        <f aca="false">IF(ISNUMBER($AF449),INDEX(IDX_SrcGrade,$AF449),"—")</f>
        <v>—</v>
      </c>
      <c r="U449" s="42" t="s">
        <v>3886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2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2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4969</v>
      </c>
      <c r="B450" s="224" t="s">
        <v>4951</v>
      </c>
      <c r="C450" s="28" t="s">
        <v>4952</v>
      </c>
      <c r="D450" s="28" t="s">
        <v>4970</v>
      </c>
      <c r="E450" s="19" t="s">
        <v>4967</v>
      </c>
      <c r="F450" s="28" t="s">
        <v>92</v>
      </c>
      <c r="G450" s="224" t="s">
        <v>4958</v>
      </c>
      <c r="H450" s="28" t="s">
        <v>620</v>
      </c>
      <c r="I450" s="6" t="s">
        <v>620</v>
      </c>
      <c r="J450" s="28" t="s">
        <v>3817</v>
      </c>
      <c r="K450" s="224"/>
      <c r="L450" s="224"/>
      <c r="M450" s="28" t="s">
        <v>4971</v>
      </c>
      <c r="N450" s="6" t="s">
        <v>4968</v>
      </c>
      <c r="O450" s="6" t="s">
        <v>620</v>
      </c>
      <c r="P450" s="224" t="s">
        <v>3885</v>
      </c>
      <c r="Q450" s="177" t="s">
        <v>620</v>
      </c>
      <c r="R450" s="28" t="s">
        <v>620</v>
      </c>
      <c r="S450" s="42" t="str">
        <f aca="false">IF(ISNUMBER($AF450),INDEX(IDX_SrcStat,$AF450),"—")</f>
        <v>—</v>
      </c>
      <c r="T450" s="42" t="str">
        <f aca="false">IF(ISNUMBER($AF450),INDEX(IDX_SrcGrade,$AF450),"—")</f>
        <v>—</v>
      </c>
      <c r="U450" s="28" t="s">
        <v>620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2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2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4972</v>
      </c>
      <c r="B451" s="224" t="s">
        <v>4951</v>
      </c>
      <c r="C451" s="28" t="s">
        <v>4952</v>
      </c>
      <c r="D451" s="28" t="s">
        <v>4397</v>
      </c>
      <c r="E451" s="19" t="s">
        <v>4973</v>
      </c>
      <c r="F451" s="224" t="s">
        <v>4747</v>
      </c>
      <c r="G451" s="224" t="s">
        <v>85</v>
      </c>
      <c r="H451" s="28" t="s">
        <v>620</v>
      </c>
      <c r="I451" s="6" t="s">
        <v>620</v>
      </c>
      <c r="J451" s="28" t="s">
        <v>620</v>
      </c>
      <c r="K451" s="185" t="n">
        <f aca="false">Cap_In!D15</f>
        <v>0.5</v>
      </c>
      <c r="L451" s="185" t="n">
        <f aca="false">Cap_In!E15</f>
        <v>7</v>
      </c>
      <c r="M451" s="28" t="s">
        <v>620</v>
      </c>
      <c r="N451" s="19" t="s">
        <v>4974</v>
      </c>
      <c r="O451" s="6" t="s">
        <v>620</v>
      </c>
      <c r="P451" s="224" t="s">
        <v>3885</v>
      </c>
      <c r="Q451" s="185" t="n">
        <f aca="false">Cap_In!C15</f>
        <v>1</v>
      </c>
      <c r="R451" s="28" t="s">
        <v>620</v>
      </c>
      <c r="S451" s="42" t="str">
        <f aca="false">IF(ISNUMBER($AF451),INDEX(IDX_SrcStat,$AF451),"—")</f>
        <v>—</v>
      </c>
      <c r="T451" s="42" t="str">
        <f aca="false">IF(ISNUMBER($AF451),INDEX(IDX_SrcGrade,$AF451),"—")</f>
        <v>—</v>
      </c>
      <c r="U451" s="42" t="s">
        <v>3886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2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2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4975</v>
      </c>
      <c r="B452" s="224" t="s">
        <v>4951</v>
      </c>
      <c r="C452" s="28" t="s">
        <v>4952</v>
      </c>
      <c r="D452" s="28" t="s">
        <v>4976</v>
      </c>
      <c r="E452" s="19" t="s">
        <v>4973</v>
      </c>
      <c r="F452" s="224" t="s">
        <v>4747</v>
      </c>
      <c r="G452" s="224" t="s">
        <v>4958</v>
      </c>
      <c r="H452" s="28" t="s">
        <v>620</v>
      </c>
      <c r="I452" s="6" t="s">
        <v>620</v>
      </c>
      <c r="J452" s="28" t="s">
        <v>620</v>
      </c>
      <c r="K452" s="224"/>
      <c r="L452" s="224"/>
      <c r="M452" s="28" t="s">
        <v>4977</v>
      </c>
      <c r="N452" s="19" t="s">
        <v>4974</v>
      </c>
      <c r="O452" s="6" t="s">
        <v>620</v>
      </c>
      <c r="P452" s="224" t="s">
        <v>3885</v>
      </c>
      <c r="Q452" s="177" t="s">
        <v>620</v>
      </c>
      <c r="R452" s="28" t="s">
        <v>620</v>
      </c>
      <c r="S452" s="42" t="str">
        <f aca="false">IF(ISNUMBER($AF452),INDEX(IDX_SrcStat,$AF452),"—")</f>
        <v>—</v>
      </c>
      <c r="T452" s="42" t="str">
        <f aca="false">IF(ISNUMBER($AF452),INDEX(IDX_SrcGrade,$AF452),"—")</f>
        <v>—</v>
      </c>
      <c r="U452" s="28" t="s">
        <v>620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2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2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4978</v>
      </c>
      <c r="B453" s="224" t="s">
        <v>4951</v>
      </c>
      <c r="C453" s="28" t="s">
        <v>4952</v>
      </c>
      <c r="D453" s="28" t="s">
        <v>4979</v>
      </c>
      <c r="E453" s="19" t="s">
        <v>4980</v>
      </c>
      <c r="F453" s="28" t="s">
        <v>92</v>
      </c>
      <c r="G453" s="224" t="s">
        <v>4636</v>
      </c>
      <c r="H453" s="28" t="s">
        <v>620</v>
      </c>
      <c r="I453" s="6" t="s">
        <v>620</v>
      </c>
      <c r="J453" s="28" t="s">
        <v>4981</v>
      </c>
      <c r="K453" s="224"/>
      <c r="L453" s="224"/>
      <c r="M453" s="28" t="s">
        <v>620</v>
      </c>
      <c r="N453" s="6" t="s">
        <v>4982</v>
      </c>
      <c r="O453" s="6" t="s">
        <v>620</v>
      </c>
      <c r="P453" s="224" t="s">
        <v>3885</v>
      </c>
      <c r="Q453" s="177" t="s">
        <v>620</v>
      </c>
      <c r="R453" s="28" t="s">
        <v>620</v>
      </c>
      <c r="S453" s="42" t="str">
        <f aca="false">IF(ISNUMBER($AF453),INDEX(IDX_SrcStat,$AF453),"—")</f>
        <v>—</v>
      </c>
      <c r="T453" s="42" t="str">
        <f aca="false">IF(ISNUMBER($AF453),INDEX(IDX_SrcGrade,$AF453),"—")</f>
        <v>—</v>
      </c>
      <c r="U453" s="28" t="s">
        <v>620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2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2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4983</v>
      </c>
      <c r="B454" s="224" t="s">
        <v>4951</v>
      </c>
      <c r="C454" s="28" t="s">
        <v>4952</v>
      </c>
      <c r="D454" s="28" t="s">
        <v>4984</v>
      </c>
      <c r="E454" s="19" t="s">
        <v>1168</v>
      </c>
      <c r="F454" s="28" t="s">
        <v>100</v>
      </c>
      <c r="G454" s="224" t="s">
        <v>4636</v>
      </c>
      <c r="H454" s="28" t="s">
        <v>620</v>
      </c>
      <c r="I454" s="6" t="s">
        <v>620</v>
      </c>
      <c r="J454" s="28" t="s">
        <v>3820</v>
      </c>
      <c r="K454" s="224"/>
      <c r="L454" s="224"/>
      <c r="M454" s="224" t="s">
        <v>4985</v>
      </c>
      <c r="N454" s="6" t="s">
        <v>4986</v>
      </c>
      <c r="O454" s="6" t="s">
        <v>620</v>
      </c>
      <c r="P454" s="224" t="s">
        <v>3885</v>
      </c>
      <c r="Q454" s="177" t="s">
        <v>620</v>
      </c>
      <c r="R454" s="28" t="s">
        <v>620</v>
      </c>
      <c r="S454" s="42" t="str">
        <f aca="false">IF(ISNUMBER($AF454),INDEX(IDX_SrcStat,$AF454),"—")</f>
        <v>—</v>
      </c>
      <c r="T454" s="42" t="str">
        <f aca="false">IF(ISNUMBER($AF454),INDEX(IDX_SrcGrade,$AF454),"—")</f>
        <v>—</v>
      </c>
      <c r="U454" s="28" t="s">
        <v>620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2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2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4987</v>
      </c>
      <c r="B455" s="224" t="s">
        <v>4951</v>
      </c>
      <c r="C455" s="28" t="s">
        <v>4952</v>
      </c>
      <c r="D455" s="28" t="s">
        <v>4988</v>
      </c>
      <c r="E455" s="19" t="s">
        <v>1171</v>
      </c>
      <c r="F455" s="28" t="s">
        <v>100</v>
      </c>
      <c r="G455" s="224" t="s">
        <v>1150</v>
      </c>
      <c r="H455" s="28" t="s">
        <v>620</v>
      </c>
      <c r="I455" s="6" t="s">
        <v>620</v>
      </c>
      <c r="J455" s="28" t="s">
        <v>3820</v>
      </c>
      <c r="K455" s="224"/>
      <c r="L455" s="224"/>
      <c r="M455" s="28" t="s">
        <v>620</v>
      </c>
      <c r="N455" s="6" t="s">
        <v>4986</v>
      </c>
      <c r="O455" s="6" t="s">
        <v>620</v>
      </c>
      <c r="P455" s="224" t="s">
        <v>3885</v>
      </c>
      <c r="Q455" s="177" t="s">
        <v>620</v>
      </c>
      <c r="R455" s="28" t="s">
        <v>620</v>
      </c>
      <c r="S455" s="42" t="str">
        <f aca="false">IF(ISNUMBER($AF455),INDEX(IDX_SrcStat,$AF455),"—")</f>
        <v>—</v>
      </c>
      <c r="T455" s="42" t="str">
        <f aca="false">IF(ISNUMBER($AF455),INDEX(IDX_SrcGrade,$AF455),"—")</f>
        <v>—</v>
      </c>
      <c r="U455" s="28" t="s">
        <v>620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2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2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4989</v>
      </c>
      <c r="B456" s="224" t="s">
        <v>4951</v>
      </c>
      <c r="C456" s="28" t="s">
        <v>4952</v>
      </c>
      <c r="D456" s="28" t="s">
        <v>4990</v>
      </c>
      <c r="E456" s="19" t="s">
        <v>1172</v>
      </c>
      <c r="F456" s="28" t="s">
        <v>100</v>
      </c>
      <c r="G456" s="224" t="s">
        <v>1151</v>
      </c>
      <c r="H456" s="28" t="s">
        <v>620</v>
      </c>
      <c r="I456" s="6" t="s">
        <v>620</v>
      </c>
      <c r="J456" s="28" t="s">
        <v>3820</v>
      </c>
      <c r="K456" s="224"/>
      <c r="L456" s="224"/>
      <c r="M456" s="28" t="s">
        <v>620</v>
      </c>
      <c r="N456" s="6" t="s">
        <v>4986</v>
      </c>
      <c r="O456" s="6" t="s">
        <v>620</v>
      </c>
      <c r="P456" s="224" t="s">
        <v>3885</v>
      </c>
      <c r="Q456" s="177" t="s">
        <v>620</v>
      </c>
      <c r="R456" s="28" t="s">
        <v>620</v>
      </c>
      <c r="S456" s="42" t="str">
        <f aca="false">IF(ISNUMBER($AF456),INDEX(IDX_SrcStat,$AF456),"—")</f>
        <v>—</v>
      </c>
      <c r="T456" s="42" t="str">
        <f aca="false">IF(ISNUMBER($AF456),INDEX(IDX_SrcGrade,$AF456),"—")</f>
        <v>—</v>
      </c>
      <c r="U456" s="28" t="s">
        <v>620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2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2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4991</v>
      </c>
      <c r="B457" s="224" t="s">
        <v>4951</v>
      </c>
      <c r="C457" s="28" t="s">
        <v>4952</v>
      </c>
      <c r="D457" s="28" t="s">
        <v>4238</v>
      </c>
      <c r="E457" s="19" t="s">
        <v>1174</v>
      </c>
      <c r="F457" s="224" t="s">
        <v>4073</v>
      </c>
      <c r="G457" s="224" t="s">
        <v>85</v>
      </c>
      <c r="H457" s="28" t="s">
        <v>3018</v>
      </c>
      <c r="I457" s="19" t="s">
        <v>4992</v>
      </c>
      <c r="J457" s="28" t="s">
        <v>3826</v>
      </c>
      <c r="K457" s="187" t="n">
        <f aca="false">Cap_In!D28</f>
        <v>0.3</v>
      </c>
      <c r="L457" s="187" t="n">
        <f aca="false">Cap_In!E28</f>
        <v>0.6</v>
      </c>
      <c r="M457" s="28" t="s">
        <v>620</v>
      </c>
      <c r="N457" s="19" t="s">
        <v>4993</v>
      </c>
      <c r="O457" s="6" t="s">
        <v>4994</v>
      </c>
      <c r="P457" s="224" t="s">
        <v>1151</v>
      </c>
      <c r="Q457" s="187" t="n">
        <f aca="false">Cap_In!C28</f>
        <v>0.41</v>
      </c>
      <c r="R457" s="177" t="n">
        <f aca="false">SRC_DEM_004</f>
        <v>8.4</v>
      </c>
      <c r="S457" s="42" t="str">
        <f aca="false">IF(ISNUMBER($AF457),INDEX(IDX_SrcStat,$AF457),"—")</f>
        <v>Active</v>
      </c>
      <c r="T457" s="42" t="n">
        <f aca="false">IF(ISNUMBER($AF457),INDEX(IDX_SrcGrade,$AF457),"—")</f>
        <v>2</v>
      </c>
      <c r="U457" s="42" t="s">
        <v>3886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2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2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4995</v>
      </c>
      <c r="B458" s="224" t="s">
        <v>4951</v>
      </c>
      <c r="C458" s="28" t="s">
        <v>4952</v>
      </c>
      <c r="D458" s="28" t="s">
        <v>4996</v>
      </c>
      <c r="E458" s="19" t="s">
        <v>1174</v>
      </c>
      <c r="F458" s="28" t="s">
        <v>100</v>
      </c>
      <c r="G458" s="224" t="s">
        <v>4958</v>
      </c>
      <c r="H458" s="28" t="s">
        <v>620</v>
      </c>
      <c r="I458" s="6" t="s">
        <v>620</v>
      </c>
      <c r="J458" s="28" t="s">
        <v>3826</v>
      </c>
      <c r="K458" s="224"/>
      <c r="L458" s="224"/>
      <c r="M458" s="28" t="s">
        <v>4997</v>
      </c>
      <c r="N458" s="6" t="s">
        <v>4998</v>
      </c>
      <c r="O458" s="6" t="s">
        <v>620</v>
      </c>
      <c r="P458" s="224" t="s">
        <v>1151</v>
      </c>
      <c r="Q458" s="177" t="s">
        <v>620</v>
      </c>
      <c r="R458" s="28" t="s">
        <v>620</v>
      </c>
      <c r="S458" s="42" t="str">
        <f aca="false">IF(ISNUMBER($AF458),INDEX(IDX_SrcStat,$AF458),"—")</f>
        <v>—</v>
      </c>
      <c r="T458" s="42" t="str">
        <f aca="false">IF(ISNUMBER($AF458),INDEX(IDX_SrcGrade,$AF458),"—")</f>
        <v>—</v>
      </c>
      <c r="U458" s="28" t="s">
        <v>620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2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2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4999</v>
      </c>
      <c r="B459" s="224" t="s">
        <v>4951</v>
      </c>
      <c r="C459" s="28" t="s">
        <v>4952</v>
      </c>
      <c r="D459" s="28" t="s">
        <v>4248</v>
      </c>
      <c r="E459" s="19" t="s">
        <v>1177</v>
      </c>
      <c r="F459" s="224" t="s">
        <v>4073</v>
      </c>
      <c r="G459" s="224" t="s">
        <v>85</v>
      </c>
      <c r="H459" s="28" t="s">
        <v>3027</v>
      </c>
      <c r="I459" s="19" t="s">
        <v>5000</v>
      </c>
      <c r="J459" s="28" t="s">
        <v>3826</v>
      </c>
      <c r="K459" s="187" t="n">
        <f aca="false">Cap_In!D29</f>
        <v>0.35</v>
      </c>
      <c r="L459" s="187" t="n">
        <f aca="false">Cap_In!E29</f>
        <v>0.6</v>
      </c>
      <c r="M459" s="28" t="s">
        <v>620</v>
      </c>
      <c r="N459" s="19" t="s">
        <v>5001</v>
      </c>
      <c r="O459" s="6" t="s">
        <v>5002</v>
      </c>
      <c r="P459" s="224" t="s">
        <v>1151</v>
      </c>
      <c r="Q459" s="187" t="n">
        <f aca="false">Cap_In!C29</f>
        <v>0.46</v>
      </c>
      <c r="R459" s="177" t="n">
        <f aca="false">SRC_DEM_005</f>
        <v>3.9</v>
      </c>
      <c r="S459" s="42" t="str">
        <f aca="false">IF(ISNUMBER($AF459),INDEX(IDX_SrcStat,$AF459),"—")</f>
        <v>Active</v>
      </c>
      <c r="T459" s="42" t="n">
        <f aca="false">IF(ISNUMBER($AF459),INDEX(IDX_SrcGrade,$AF459),"—")</f>
        <v>2</v>
      </c>
      <c r="U459" s="42" t="s">
        <v>3886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2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2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5003</v>
      </c>
      <c r="B460" s="224" t="s">
        <v>4951</v>
      </c>
      <c r="C460" s="28" t="s">
        <v>4952</v>
      </c>
      <c r="D460" s="28" t="s">
        <v>5004</v>
      </c>
      <c r="E460" s="19" t="s">
        <v>1177</v>
      </c>
      <c r="F460" s="28" t="s">
        <v>100</v>
      </c>
      <c r="G460" s="224" t="s">
        <v>4958</v>
      </c>
      <c r="H460" s="28" t="s">
        <v>620</v>
      </c>
      <c r="I460" s="6" t="s">
        <v>620</v>
      </c>
      <c r="J460" s="28" t="s">
        <v>3826</v>
      </c>
      <c r="K460" s="224"/>
      <c r="L460" s="224"/>
      <c r="M460" s="28" t="s">
        <v>5005</v>
      </c>
      <c r="N460" s="6" t="s">
        <v>5006</v>
      </c>
      <c r="O460" s="6" t="s">
        <v>620</v>
      </c>
      <c r="P460" s="224" t="s">
        <v>1151</v>
      </c>
      <c r="Q460" s="177" t="s">
        <v>620</v>
      </c>
      <c r="R460" s="28" t="s">
        <v>620</v>
      </c>
      <c r="S460" s="42" t="str">
        <f aca="false">IF(ISNUMBER($AF460),INDEX(IDX_SrcStat,$AF460),"—")</f>
        <v>—</v>
      </c>
      <c r="T460" s="42" t="str">
        <f aca="false">IF(ISNUMBER($AF460),INDEX(IDX_SrcGrade,$AF460),"—")</f>
        <v>—</v>
      </c>
      <c r="U460" s="28" t="s">
        <v>620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2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2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5007</v>
      </c>
      <c r="B461" s="224" t="s">
        <v>4951</v>
      </c>
      <c r="C461" s="28" t="s">
        <v>4952</v>
      </c>
      <c r="D461" s="28" t="s">
        <v>5008</v>
      </c>
      <c r="E461" s="19" t="s">
        <v>5009</v>
      </c>
      <c r="F461" s="28" t="s">
        <v>100</v>
      </c>
      <c r="G461" s="224" t="s">
        <v>4636</v>
      </c>
      <c r="H461" s="28" t="s">
        <v>620</v>
      </c>
      <c r="I461" s="6" t="s">
        <v>620</v>
      </c>
      <c r="J461" s="28" t="s">
        <v>3826</v>
      </c>
      <c r="K461" s="224"/>
      <c r="L461" s="224"/>
      <c r="M461" s="224" t="s">
        <v>5010</v>
      </c>
      <c r="N461" s="6" t="s">
        <v>5011</v>
      </c>
      <c r="O461" s="6" t="s">
        <v>620</v>
      </c>
      <c r="P461" s="224" t="s">
        <v>3885</v>
      </c>
      <c r="Q461" s="177" t="s">
        <v>620</v>
      </c>
      <c r="R461" s="28" t="s">
        <v>620</v>
      </c>
      <c r="S461" s="42" t="str">
        <f aca="false">IF(ISNUMBER($AF461),INDEX(IDX_SrcStat,$AF461),"—")</f>
        <v>—</v>
      </c>
      <c r="T461" s="42" t="str">
        <f aca="false">IF(ISNUMBER($AF461),INDEX(IDX_SrcGrade,$AF461),"—")</f>
        <v>—</v>
      </c>
      <c r="U461" s="28" t="s">
        <v>620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2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2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5012</v>
      </c>
      <c r="B462" s="224" t="s">
        <v>4951</v>
      </c>
      <c r="C462" s="28" t="s">
        <v>4952</v>
      </c>
      <c r="D462" s="28" t="s">
        <v>5013</v>
      </c>
      <c r="E462" s="19" t="s">
        <v>5014</v>
      </c>
      <c r="F462" s="28" t="s">
        <v>100</v>
      </c>
      <c r="G462" s="224" t="s">
        <v>4636</v>
      </c>
      <c r="H462" s="28" t="s">
        <v>620</v>
      </c>
      <c r="I462" s="6" t="s">
        <v>620</v>
      </c>
      <c r="J462" s="28" t="s">
        <v>3826</v>
      </c>
      <c r="K462" s="224"/>
      <c r="L462" s="224"/>
      <c r="M462" s="28" t="s">
        <v>5015</v>
      </c>
      <c r="N462" s="6" t="s">
        <v>5016</v>
      </c>
      <c r="O462" s="6" t="s">
        <v>620</v>
      </c>
      <c r="P462" s="224" t="s">
        <v>3885</v>
      </c>
      <c r="Q462" s="177" t="s">
        <v>620</v>
      </c>
      <c r="R462" s="28" t="s">
        <v>620</v>
      </c>
      <c r="S462" s="42" t="str">
        <f aca="false">IF(ISNUMBER($AF462),INDEX(IDX_SrcStat,$AF462),"—")</f>
        <v>—</v>
      </c>
      <c r="T462" s="42" t="str">
        <f aca="false">IF(ISNUMBER($AF462),INDEX(IDX_SrcGrade,$AF462),"—")</f>
        <v>—</v>
      </c>
      <c r="U462" s="28" t="s">
        <v>620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2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2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5017</v>
      </c>
      <c r="B463" s="224" t="s">
        <v>4951</v>
      </c>
      <c r="C463" s="28" t="s">
        <v>4952</v>
      </c>
      <c r="D463" s="28" t="s">
        <v>5018</v>
      </c>
      <c r="E463" s="19" t="s">
        <v>5019</v>
      </c>
      <c r="F463" s="28" t="s">
        <v>100</v>
      </c>
      <c r="G463" s="224" t="s">
        <v>85</v>
      </c>
      <c r="H463" s="28" t="s">
        <v>620</v>
      </c>
      <c r="I463" s="6" t="s">
        <v>620</v>
      </c>
      <c r="J463" s="28" t="s">
        <v>5020</v>
      </c>
      <c r="K463" s="31" t="n">
        <f aca="false">Cap_In!D36</f>
        <v>1</v>
      </c>
      <c r="L463" s="31" t="n">
        <f aca="false">Cap_In!E36</f>
        <v>3</v>
      </c>
      <c r="M463" s="28" t="s">
        <v>620</v>
      </c>
      <c r="N463" s="6" t="s">
        <v>5021</v>
      </c>
      <c r="O463" s="6" t="s">
        <v>620</v>
      </c>
      <c r="P463" s="224" t="s">
        <v>1151</v>
      </c>
      <c r="Q463" s="31" t="n">
        <f aca="false">Cap_In!C36</f>
        <v>2</v>
      </c>
      <c r="R463" s="28" t="s">
        <v>620</v>
      </c>
      <c r="S463" s="42" t="str">
        <f aca="false">IF(ISNUMBER($AF463),INDEX(IDX_SrcStat,$AF463),"—")</f>
        <v>—</v>
      </c>
      <c r="T463" s="42" t="str">
        <f aca="false">IF(ISNUMBER($AF463),INDEX(IDX_SrcGrade,$AF463),"—")</f>
        <v>—</v>
      </c>
      <c r="U463" s="42" t="s">
        <v>3886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2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2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5022</v>
      </c>
      <c r="B464" s="224" t="s">
        <v>4951</v>
      </c>
      <c r="C464" s="28" t="s">
        <v>4952</v>
      </c>
      <c r="D464" s="28" t="s">
        <v>5023</v>
      </c>
      <c r="E464" s="19" t="s">
        <v>5019</v>
      </c>
      <c r="F464" s="28" t="s">
        <v>100</v>
      </c>
      <c r="G464" s="224" t="s">
        <v>4958</v>
      </c>
      <c r="H464" s="28" t="s">
        <v>620</v>
      </c>
      <c r="I464" s="6" t="s">
        <v>620</v>
      </c>
      <c r="J464" s="28" t="s">
        <v>5020</v>
      </c>
      <c r="K464" s="224"/>
      <c r="L464" s="224"/>
      <c r="M464" s="28" t="s">
        <v>5024</v>
      </c>
      <c r="N464" s="6" t="s">
        <v>5025</v>
      </c>
      <c r="O464" s="6" t="s">
        <v>620</v>
      </c>
      <c r="P464" s="224" t="s">
        <v>3885</v>
      </c>
      <c r="Q464" s="177" t="s">
        <v>620</v>
      </c>
      <c r="R464" s="28" t="s">
        <v>620</v>
      </c>
      <c r="S464" s="42" t="str">
        <f aca="false">IF(ISNUMBER($AF464),INDEX(IDX_SrcStat,$AF464),"—")</f>
        <v>—</v>
      </c>
      <c r="T464" s="42" t="str">
        <f aca="false">IF(ISNUMBER($AF464),INDEX(IDX_SrcGrade,$AF464),"—")</f>
        <v>—</v>
      </c>
      <c r="U464" s="28" t="s">
        <v>620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2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2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5026</v>
      </c>
      <c r="B465" s="224" t="s">
        <v>4951</v>
      </c>
      <c r="C465" s="28" t="s">
        <v>4952</v>
      </c>
      <c r="D465" s="28" t="s">
        <v>5027</v>
      </c>
      <c r="E465" s="19" t="s">
        <v>1186</v>
      </c>
      <c r="F465" s="28" t="s">
        <v>100</v>
      </c>
      <c r="G465" s="224" t="s">
        <v>85</v>
      </c>
      <c r="H465" s="28" t="s">
        <v>620</v>
      </c>
      <c r="I465" s="6" t="s">
        <v>620</v>
      </c>
      <c r="J465" s="28" t="s">
        <v>5020</v>
      </c>
      <c r="K465" s="207" t="n">
        <f aca="false">Cap_In!D37</f>
        <v>0.0833333333333333</v>
      </c>
      <c r="L465" s="207" t="n">
        <f aca="false">Cap_In!E37</f>
        <v>1</v>
      </c>
      <c r="M465" s="28" t="s">
        <v>620</v>
      </c>
      <c r="N465" s="6" t="s">
        <v>5028</v>
      </c>
      <c r="O465" s="6" t="s">
        <v>5029</v>
      </c>
      <c r="P465" s="224" t="s">
        <v>1150</v>
      </c>
      <c r="Q465" s="207" t="n">
        <f aca="false">Cap_In!C37</f>
        <v>0.0833333333333333</v>
      </c>
      <c r="R465" s="28" t="s">
        <v>620</v>
      </c>
      <c r="S465" s="42" t="str">
        <f aca="false">IF(ISNUMBER($AF465),INDEX(IDX_SrcStat,$AF465),"—")</f>
        <v>—</v>
      </c>
      <c r="T465" s="42" t="str">
        <f aca="false">IF(ISNUMBER($AF465),INDEX(IDX_SrcGrade,$AF465),"—")</f>
        <v>—</v>
      </c>
      <c r="U465" s="42" t="s">
        <v>3886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2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2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5030</v>
      </c>
      <c r="B466" s="224" t="s">
        <v>4951</v>
      </c>
      <c r="C466" s="28" t="s">
        <v>4952</v>
      </c>
      <c r="D466" s="28" t="s">
        <v>5031</v>
      </c>
      <c r="E466" s="19" t="s">
        <v>1186</v>
      </c>
      <c r="F466" s="28" t="s">
        <v>100</v>
      </c>
      <c r="G466" s="224" t="s">
        <v>4958</v>
      </c>
      <c r="H466" s="28" t="s">
        <v>620</v>
      </c>
      <c r="I466" s="6" t="s">
        <v>620</v>
      </c>
      <c r="J466" s="28" t="s">
        <v>5020</v>
      </c>
      <c r="K466" s="224"/>
      <c r="L466" s="224"/>
      <c r="M466" s="28" t="s">
        <v>5032</v>
      </c>
      <c r="N466" s="6" t="s">
        <v>5033</v>
      </c>
      <c r="O466" s="6" t="s">
        <v>620</v>
      </c>
      <c r="P466" s="224" t="s">
        <v>1150</v>
      </c>
      <c r="Q466" s="177" t="s">
        <v>620</v>
      </c>
      <c r="R466" s="28" t="s">
        <v>620</v>
      </c>
      <c r="S466" s="42" t="str">
        <f aca="false">IF(ISNUMBER($AF466),INDEX(IDX_SrcStat,$AF466),"—")</f>
        <v>—</v>
      </c>
      <c r="T466" s="42" t="str">
        <f aca="false">IF(ISNUMBER($AF466),INDEX(IDX_SrcGrade,$AF466),"—")</f>
        <v>—</v>
      </c>
      <c r="U466" s="28" t="s">
        <v>620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2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2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5034</v>
      </c>
      <c r="B467" s="224" t="s">
        <v>4951</v>
      </c>
      <c r="C467" s="28" t="s">
        <v>4952</v>
      </c>
      <c r="D467" s="28" t="s">
        <v>5035</v>
      </c>
      <c r="E467" s="19" t="s">
        <v>1188</v>
      </c>
      <c r="F467" s="28" t="s">
        <v>100</v>
      </c>
      <c r="G467" s="224" t="s">
        <v>85</v>
      </c>
      <c r="H467" s="28" t="s">
        <v>620</v>
      </c>
      <c r="I467" s="6" t="s">
        <v>620</v>
      </c>
      <c r="J467" s="28" t="s">
        <v>5020</v>
      </c>
      <c r="K467" s="31" t="n">
        <f aca="false">Cap_In!D38</f>
        <v>1</v>
      </c>
      <c r="L467" s="31" t="n">
        <f aca="false">Cap_In!E38</f>
        <v>20</v>
      </c>
      <c r="M467" s="28" t="s">
        <v>620</v>
      </c>
      <c r="N467" s="6" t="s">
        <v>5036</v>
      </c>
      <c r="O467" s="6" t="s">
        <v>620</v>
      </c>
      <c r="P467" s="224" t="s">
        <v>1150</v>
      </c>
      <c r="Q467" s="31" t="n">
        <f aca="false">Cap_In!C38</f>
        <v>5</v>
      </c>
      <c r="R467" s="28" t="s">
        <v>620</v>
      </c>
      <c r="S467" s="42" t="str">
        <f aca="false">IF(ISNUMBER($AF467),INDEX(IDX_SrcStat,$AF467),"—")</f>
        <v>—</v>
      </c>
      <c r="T467" s="42" t="str">
        <f aca="false">IF(ISNUMBER($AF467),INDEX(IDX_SrcGrade,$AF467),"—")</f>
        <v>—</v>
      </c>
      <c r="U467" s="42" t="s">
        <v>3886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2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2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5037</v>
      </c>
      <c r="B468" s="224" t="s">
        <v>4951</v>
      </c>
      <c r="C468" s="28" t="s">
        <v>4952</v>
      </c>
      <c r="D468" s="28" t="s">
        <v>5038</v>
      </c>
      <c r="E468" s="19" t="s">
        <v>1188</v>
      </c>
      <c r="F468" s="28" t="s">
        <v>100</v>
      </c>
      <c r="G468" s="224" t="s">
        <v>4958</v>
      </c>
      <c r="H468" s="28" t="s">
        <v>620</v>
      </c>
      <c r="I468" s="6" t="s">
        <v>620</v>
      </c>
      <c r="J468" s="28" t="s">
        <v>5020</v>
      </c>
      <c r="K468" s="224"/>
      <c r="L468" s="224"/>
      <c r="M468" s="28" t="s">
        <v>5039</v>
      </c>
      <c r="N468" s="6" t="s">
        <v>5040</v>
      </c>
      <c r="O468" s="6" t="s">
        <v>620</v>
      </c>
      <c r="P468" s="224" t="s">
        <v>1150</v>
      </c>
      <c r="Q468" s="177" t="s">
        <v>620</v>
      </c>
      <c r="R468" s="28" t="s">
        <v>620</v>
      </c>
      <c r="S468" s="42" t="str">
        <f aca="false">IF(ISNUMBER($AF468),INDEX(IDX_SrcStat,$AF468),"—")</f>
        <v>—</v>
      </c>
      <c r="T468" s="42" t="str">
        <f aca="false">IF(ISNUMBER($AF468),INDEX(IDX_SrcGrade,$AF468),"—")</f>
        <v>—</v>
      </c>
      <c r="U468" s="28" t="s">
        <v>620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2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2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5041</v>
      </c>
      <c r="B469" s="224" t="s">
        <v>4951</v>
      </c>
      <c r="C469" s="28" t="s">
        <v>4952</v>
      </c>
      <c r="D469" s="28" t="s">
        <v>4325</v>
      </c>
      <c r="E469" s="6" t="s">
        <v>1191</v>
      </c>
      <c r="F469" s="28" t="s">
        <v>100</v>
      </c>
      <c r="G469" s="224" t="s">
        <v>85</v>
      </c>
      <c r="H469" s="28" t="s">
        <v>620</v>
      </c>
      <c r="I469" s="6" t="s">
        <v>620</v>
      </c>
      <c r="J469" s="28" t="s">
        <v>620</v>
      </c>
      <c r="K469" s="185" t="n">
        <f aca="false">Cap_In!D39</f>
        <v>5</v>
      </c>
      <c r="L469" s="185" t="n">
        <f aca="false">Cap_In!E39</f>
        <v>20</v>
      </c>
      <c r="M469" s="28" t="s">
        <v>620</v>
      </c>
      <c r="N469" s="6" t="s">
        <v>5042</v>
      </c>
      <c r="O469" s="6" t="s">
        <v>620</v>
      </c>
      <c r="P469" s="224" t="s">
        <v>1150</v>
      </c>
      <c r="Q469" s="185" t="n">
        <f aca="false">Cap_In!C39</f>
        <v>10</v>
      </c>
      <c r="R469" s="28" t="s">
        <v>620</v>
      </c>
      <c r="S469" s="42" t="str">
        <f aca="false">IF(ISNUMBER($AF469),INDEX(IDX_SrcStat,$AF469),"—")</f>
        <v>—</v>
      </c>
      <c r="T469" s="42" t="str">
        <f aca="false">IF(ISNUMBER($AF469),INDEX(IDX_SrcGrade,$AF469),"—")</f>
        <v>—</v>
      </c>
      <c r="U469" s="42" t="s">
        <v>3886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2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2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5043</v>
      </c>
      <c r="B470" s="224" t="s">
        <v>4951</v>
      </c>
      <c r="C470" s="28" t="s">
        <v>4952</v>
      </c>
      <c r="D470" s="28" t="s">
        <v>5044</v>
      </c>
      <c r="E470" s="6" t="s">
        <v>1191</v>
      </c>
      <c r="F470" s="28" t="s">
        <v>100</v>
      </c>
      <c r="G470" s="224" t="s">
        <v>4958</v>
      </c>
      <c r="H470" s="28" t="s">
        <v>620</v>
      </c>
      <c r="I470" s="6" t="s">
        <v>620</v>
      </c>
      <c r="J470" s="28" t="s">
        <v>620</v>
      </c>
      <c r="K470" s="224"/>
      <c r="L470" s="224"/>
      <c r="M470" s="28" t="s">
        <v>5045</v>
      </c>
      <c r="N470" s="6" t="s">
        <v>5046</v>
      </c>
      <c r="O470" s="6" t="s">
        <v>620</v>
      </c>
      <c r="P470" s="224" t="s">
        <v>1150</v>
      </c>
      <c r="Q470" s="177" t="s">
        <v>620</v>
      </c>
      <c r="R470" s="28" t="s">
        <v>620</v>
      </c>
      <c r="S470" s="42" t="str">
        <f aca="false">IF(ISNUMBER($AF470),INDEX(IDX_SrcStat,$AF470),"—")</f>
        <v>—</v>
      </c>
      <c r="T470" s="42" t="str">
        <f aca="false">IF(ISNUMBER($AF470),INDEX(IDX_SrcGrade,$AF470),"—")</f>
        <v>—</v>
      </c>
      <c r="U470" s="28" t="s">
        <v>620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2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2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5047</v>
      </c>
      <c r="B471" s="224" t="s">
        <v>4951</v>
      </c>
      <c r="C471" s="28" t="s">
        <v>4952</v>
      </c>
      <c r="D471" s="28" t="s">
        <v>4338</v>
      </c>
      <c r="E471" s="6" t="s">
        <v>1194</v>
      </c>
      <c r="F471" s="28" t="s">
        <v>100</v>
      </c>
      <c r="G471" s="224" t="s">
        <v>85</v>
      </c>
      <c r="H471" s="28" t="s">
        <v>620</v>
      </c>
      <c r="I471" s="6" t="s">
        <v>620</v>
      </c>
      <c r="J471" s="28" t="s">
        <v>620</v>
      </c>
      <c r="K471" s="31" t="n">
        <f aca="false">Cap_In!D40</f>
        <v>3</v>
      </c>
      <c r="L471" s="31" t="n">
        <f aca="false">Cap_In!E40</f>
        <v>6</v>
      </c>
      <c r="M471" s="28" t="s">
        <v>620</v>
      </c>
      <c r="N471" s="6" t="s">
        <v>5048</v>
      </c>
      <c r="O471" s="6" t="s">
        <v>620</v>
      </c>
      <c r="P471" s="224" t="s">
        <v>1150</v>
      </c>
      <c r="Q471" s="31" t="n">
        <f aca="false">Cap_In!C40</f>
        <v>4</v>
      </c>
      <c r="R471" s="28" t="s">
        <v>620</v>
      </c>
      <c r="S471" s="42" t="str">
        <f aca="false">IF(ISNUMBER($AF471),INDEX(IDX_SrcStat,$AF471),"—")</f>
        <v>—</v>
      </c>
      <c r="T471" s="42" t="str">
        <f aca="false">IF(ISNUMBER($AF471),INDEX(IDX_SrcGrade,$AF471),"—")</f>
        <v>—</v>
      </c>
      <c r="U471" s="42" t="s">
        <v>3886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2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2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5049</v>
      </c>
      <c r="B472" s="224" t="s">
        <v>4951</v>
      </c>
      <c r="C472" s="28" t="s">
        <v>4952</v>
      </c>
      <c r="D472" s="28" t="s">
        <v>5050</v>
      </c>
      <c r="E472" s="6" t="s">
        <v>1194</v>
      </c>
      <c r="F472" s="28" t="s">
        <v>100</v>
      </c>
      <c r="G472" s="224" t="s">
        <v>4958</v>
      </c>
      <c r="H472" s="28" t="s">
        <v>620</v>
      </c>
      <c r="I472" s="6" t="s">
        <v>620</v>
      </c>
      <c r="J472" s="28" t="s">
        <v>620</v>
      </c>
      <c r="K472" s="224"/>
      <c r="L472" s="224"/>
      <c r="M472" s="28" t="s">
        <v>5051</v>
      </c>
      <c r="N472" s="6" t="s">
        <v>1194</v>
      </c>
      <c r="O472" s="6" t="s">
        <v>620</v>
      </c>
      <c r="P472" s="224" t="s">
        <v>1150</v>
      </c>
      <c r="Q472" s="177" t="s">
        <v>620</v>
      </c>
      <c r="R472" s="28" t="s">
        <v>620</v>
      </c>
      <c r="S472" s="42" t="str">
        <f aca="false">IF(ISNUMBER($AF472),INDEX(IDX_SrcStat,$AF472),"—")</f>
        <v>—</v>
      </c>
      <c r="T472" s="42" t="str">
        <f aca="false">IF(ISNUMBER($AF472),INDEX(IDX_SrcGrade,$AF472),"—")</f>
        <v>—</v>
      </c>
      <c r="U472" s="28" t="s">
        <v>620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2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2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5052</v>
      </c>
      <c r="B473" s="224" t="s">
        <v>4951</v>
      </c>
      <c r="C473" s="28" t="s">
        <v>4952</v>
      </c>
      <c r="D473" s="28" t="s">
        <v>4352</v>
      </c>
      <c r="E473" s="6" t="s">
        <v>1195</v>
      </c>
      <c r="F473" s="28" t="s">
        <v>100</v>
      </c>
      <c r="G473" s="224" t="s">
        <v>85</v>
      </c>
      <c r="H473" s="28" t="s">
        <v>620</v>
      </c>
      <c r="I473" s="6" t="s">
        <v>620</v>
      </c>
      <c r="J473" s="28" t="s">
        <v>620</v>
      </c>
      <c r="K473" s="185" t="n">
        <f aca="false">Cap_In!D41</f>
        <v>0.05</v>
      </c>
      <c r="L473" s="185" t="n">
        <f aca="false">Cap_In!E41</f>
        <v>0.3</v>
      </c>
      <c r="M473" s="28" t="s">
        <v>620</v>
      </c>
      <c r="N473" s="19" t="s">
        <v>5053</v>
      </c>
      <c r="O473" s="6" t="s">
        <v>620</v>
      </c>
      <c r="P473" s="224" t="s">
        <v>3885</v>
      </c>
      <c r="Q473" s="185" t="n">
        <f aca="false">Cap_In!C41</f>
        <v>0.1</v>
      </c>
      <c r="R473" s="28" t="s">
        <v>620</v>
      </c>
      <c r="S473" s="42" t="str">
        <f aca="false">IF(ISNUMBER($AF473),INDEX(IDX_SrcStat,$AF473),"—")</f>
        <v>—</v>
      </c>
      <c r="T473" s="42" t="str">
        <f aca="false">IF(ISNUMBER($AF473),INDEX(IDX_SrcGrade,$AF473),"—")</f>
        <v>—</v>
      </c>
      <c r="U473" s="42" t="s">
        <v>3886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2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2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5054</v>
      </c>
      <c r="B474" s="224" t="s">
        <v>4951</v>
      </c>
      <c r="C474" s="28" t="s">
        <v>4952</v>
      </c>
      <c r="D474" s="28" t="s">
        <v>5055</v>
      </c>
      <c r="E474" s="6" t="s">
        <v>1195</v>
      </c>
      <c r="F474" s="28" t="s">
        <v>100</v>
      </c>
      <c r="G474" s="224" t="s">
        <v>4958</v>
      </c>
      <c r="H474" s="28" t="s">
        <v>620</v>
      </c>
      <c r="I474" s="6" t="s">
        <v>620</v>
      </c>
      <c r="J474" s="28" t="s">
        <v>620</v>
      </c>
      <c r="K474" s="224"/>
      <c r="L474" s="224"/>
      <c r="M474" s="28" t="s">
        <v>5056</v>
      </c>
      <c r="N474" s="19" t="s">
        <v>5053</v>
      </c>
      <c r="O474" s="6" t="s">
        <v>620</v>
      </c>
      <c r="P474" s="224" t="s">
        <v>3885</v>
      </c>
      <c r="Q474" s="177" t="s">
        <v>620</v>
      </c>
      <c r="R474" s="28" t="s">
        <v>620</v>
      </c>
      <c r="S474" s="42" t="str">
        <f aca="false">IF(ISNUMBER($AF474),INDEX(IDX_SrcStat,$AF474),"—")</f>
        <v>—</v>
      </c>
      <c r="T474" s="42" t="str">
        <f aca="false">IF(ISNUMBER($AF474),INDEX(IDX_SrcGrade,$AF474),"—")</f>
        <v>—</v>
      </c>
      <c r="U474" s="28" t="s">
        <v>620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2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2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5057</v>
      </c>
      <c r="B475" s="224" t="s">
        <v>4951</v>
      </c>
      <c r="C475" s="28" t="s">
        <v>4952</v>
      </c>
      <c r="D475" s="28" t="s">
        <v>4916</v>
      </c>
      <c r="E475" s="6" t="s">
        <v>1197</v>
      </c>
      <c r="F475" s="28" t="s">
        <v>100</v>
      </c>
      <c r="G475" s="224" t="s">
        <v>85</v>
      </c>
      <c r="H475" s="28" t="s">
        <v>620</v>
      </c>
      <c r="I475" s="6" t="s">
        <v>620</v>
      </c>
      <c r="J475" s="28" t="s">
        <v>620</v>
      </c>
      <c r="K475" s="31" t="n">
        <f aca="false">Cap_In!D42</f>
        <v>3</v>
      </c>
      <c r="L475" s="31" t="n">
        <f aca="false">Cap_In!E42</f>
        <v>6</v>
      </c>
      <c r="M475" s="28" t="s">
        <v>620</v>
      </c>
      <c r="N475" s="6" t="s">
        <v>1197</v>
      </c>
      <c r="O475" s="6" t="s">
        <v>620</v>
      </c>
      <c r="P475" s="224" t="s">
        <v>3885</v>
      </c>
      <c r="Q475" s="31" t="n">
        <f aca="false">Cap_In!C42</f>
        <v>5</v>
      </c>
      <c r="R475" s="28" t="s">
        <v>620</v>
      </c>
      <c r="S475" s="42" t="str">
        <f aca="false">IF(ISNUMBER($AF475),INDEX(IDX_SrcStat,$AF475),"—")</f>
        <v>—</v>
      </c>
      <c r="T475" s="42" t="str">
        <f aca="false">IF(ISNUMBER($AF475),INDEX(IDX_SrcGrade,$AF475),"—")</f>
        <v>—</v>
      </c>
      <c r="U475" s="42" t="s">
        <v>3886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2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2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5058</v>
      </c>
      <c r="B476" s="224" t="s">
        <v>4951</v>
      </c>
      <c r="C476" s="28" t="s">
        <v>4952</v>
      </c>
      <c r="D476" s="28" t="s">
        <v>5059</v>
      </c>
      <c r="E476" s="6" t="s">
        <v>1197</v>
      </c>
      <c r="F476" s="28" t="s">
        <v>100</v>
      </c>
      <c r="G476" s="224" t="s">
        <v>4958</v>
      </c>
      <c r="H476" s="28" t="s">
        <v>620</v>
      </c>
      <c r="I476" s="6" t="s">
        <v>620</v>
      </c>
      <c r="J476" s="28" t="s">
        <v>620</v>
      </c>
      <c r="K476" s="224"/>
      <c r="L476" s="224"/>
      <c r="M476" s="28" t="s">
        <v>5060</v>
      </c>
      <c r="N476" s="6" t="s">
        <v>1197</v>
      </c>
      <c r="O476" s="6" t="s">
        <v>620</v>
      </c>
      <c r="P476" s="224" t="s">
        <v>3885</v>
      </c>
      <c r="Q476" s="177" t="s">
        <v>620</v>
      </c>
      <c r="R476" s="28" t="s">
        <v>620</v>
      </c>
      <c r="S476" s="42" t="str">
        <f aca="false">IF(ISNUMBER($AF476),INDEX(IDX_SrcStat,$AF476),"—")</f>
        <v>—</v>
      </c>
      <c r="T476" s="42" t="str">
        <f aca="false">IF(ISNUMBER($AF476),INDEX(IDX_SrcGrade,$AF476),"—")</f>
        <v>—</v>
      </c>
      <c r="U476" s="28" t="s">
        <v>620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2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2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5061</v>
      </c>
      <c r="B477" s="224" t="s">
        <v>4951</v>
      </c>
      <c r="C477" s="28" t="s">
        <v>4952</v>
      </c>
      <c r="D477" s="28" t="s">
        <v>5062</v>
      </c>
      <c r="E477" s="6" t="s">
        <v>1211</v>
      </c>
      <c r="F477" s="224" t="s">
        <v>5063</v>
      </c>
      <c r="G477" s="224" t="s">
        <v>4636</v>
      </c>
      <c r="H477" s="28" t="s">
        <v>5064</v>
      </c>
      <c r="I477" s="19" t="s">
        <v>5065</v>
      </c>
      <c r="J477" s="28" t="s">
        <v>4981</v>
      </c>
      <c r="K477" s="224"/>
      <c r="L477" s="224"/>
      <c r="M477" s="224" t="s">
        <v>3778</v>
      </c>
      <c r="N477" s="19" t="s">
        <v>5066</v>
      </c>
      <c r="O477" s="6" t="s">
        <v>620</v>
      </c>
      <c r="P477" s="224" t="s">
        <v>3885</v>
      </c>
      <c r="Q477" s="177" t="s">
        <v>620</v>
      </c>
      <c r="R477" s="177" t="n">
        <f aca="false">SRC_PRC_027</f>
        <v>0.5</v>
      </c>
      <c r="S477" s="42" t="str">
        <f aca="false">IF(ISNUMBER($AF477),INDEX(IDX_SrcStat,$AF477),"—")</f>
        <v>Active</v>
      </c>
      <c r="T477" s="42" t="n">
        <f aca="false">IF(ISNUMBER($AF477),INDEX(IDX_SrcGrade,$AF477),"—")</f>
        <v>1</v>
      </c>
      <c r="U477" s="28" t="s">
        <v>620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2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2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5067</v>
      </c>
      <c r="B478" s="224" t="s">
        <v>4951</v>
      </c>
      <c r="C478" s="28" t="s">
        <v>4952</v>
      </c>
      <c r="D478" s="28" t="s">
        <v>5068</v>
      </c>
      <c r="E478" s="6" t="s">
        <v>1211</v>
      </c>
      <c r="F478" s="28" t="s">
        <v>3974</v>
      </c>
      <c r="G478" s="224" t="s">
        <v>4636</v>
      </c>
      <c r="H478" s="28" t="s">
        <v>620</v>
      </c>
      <c r="I478" s="6" t="s">
        <v>620</v>
      </c>
      <c r="J478" s="28" t="s">
        <v>5069</v>
      </c>
      <c r="K478" s="224"/>
      <c r="L478" s="224"/>
      <c r="M478" s="224" t="s">
        <v>3778</v>
      </c>
      <c r="N478" s="19" t="s">
        <v>5070</v>
      </c>
      <c r="O478" s="6" t="s">
        <v>620</v>
      </c>
      <c r="P478" s="224" t="s">
        <v>3885</v>
      </c>
      <c r="Q478" s="177" t="s">
        <v>620</v>
      </c>
      <c r="R478" s="28" t="s">
        <v>620</v>
      </c>
      <c r="S478" s="42" t="str">
        <f aca="false">IF(ISNUMBER($AF478),INDEX(IDX_SrcStat,$AF478),"—")</f>
        <v>—</v>
      </c>
      <c r="T478" s="42" t="str">
        <f aca="false">IF(ISNUMBER($AF478),INDEX(IDX_SrcGrade,$AF478),"—")</f>
        <v>—</v>
      </c>
      <c r="U478" s="28" t="s">
        <v>620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2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2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5071</v>
      </c>
      <c r="B479" s="224" t="s">
        <v>4951</v>
      </c>
      <c r="C479" s="28" t="s">
        <v>4952</v>
      </c>
      <c r="D479" s="28" t="s">
        <v>5072</v>
      </c>
      <c r="E479" s="6" t="s">
        <v>1226</v>
      </c>
      <c r="F479" s="28" t="s">
        <v>100</v>
      </c>
      <c r="G479" s="224" t="s">
        <v>3882</v>
      </c>
      <c r="H479" s="28" t="s">
        <v>620</v>
      </c>
      <c r="I479" s="6" t="s">
        <v>620</v>
      </c>
      <c r="J479" s="28" t="s">
        <v>620</v>
      </c>
      <c r="K479" s="226" t="n">
        <v>0.125</v>
      </c>
      <c r="L479" s="226" t="n">
        <v>0.5</v>
      </c>
      <c r="M479" s="28" t="s">
        <v>5073</v>
      </c>
      <c r="N479" s="6" t="s">
        <v>5074</v>
      </c>
      <c r="O479" s="6" t="s">
        <v>5075</v>
      </c>
      <c r="P479" s="224" t="s">
        <v>3885</v>
      </c>
      <c r="Q479" s="44" t="n">
        <f aca="false">Cap_In!F50</f>
        <v>0.5</v>
      </c>
      <c r="R479" s="28" t="s">
        <v>620</v>
      </c>
      <c r="S479" s="42" t="str">
        <f aca="false">IF(ISNUMBER($AF479),INDEX(IDX_SrcStat,$AF479),"—")</f>
        <v>—</v>
      </c>
      <c r="T479" s="42" t="str">
        <f aca="false">IF(ISNUMBER($AF479),INDEX(IDX_SrcGrade,$AF479),"—")</f>
        <v>—</v>
      </c>
      <c r="U479" s="42" t="s">
        <v>3886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2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2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5076</v>
      </c>
      <c r="B480" s="224" t="s">
        <v>4951</v>
      </c>
      <c r="C480" s="28" t="s">
        <v>4952</v>
      </c>
      <c r="D480" s="28" t="s">
        <v>5077</v>
      </c>
      <c r="E480" s="6" t="s">
        <v>1229</v>
      </c>
      <c r="F480" s="28" t="s">
        <v>100</v>
      </c>
      <c r="G480" s="224" t="s">
        <v>3882</v>
      </c>
      <c r="H480" s="28" t="s">
        <v>620</v>
      </c>
      <c r="I480" s="6" t="s">
        <v>620</v>
      </c>
      <c r="J480" s="28" t="s">
        <v>620</v>
      </c>
      <c r="K480" s="226" t="n">
        <v>0.1</v>
      </c>
      <c r="L480" s="226" t="n">
        <v>0.4</v>
      </c>
      <c r="M480" s="28" t="s">
        <v>5078</v>
      </c>
      <c r="N480" s="6" t="s">
        <v>5079</v>
      </c>
      <c r="O480" s="6" t="s">
        <v>5075</v>
      </c>
      <c r="P480" s="224" t="s">
        <v>3885</v>
      </c>
      <c r="Q480" s="44" t="n">
        <f aca="false">Cap_In!F51</f>
        <v>0.2</v>
      </c>
      <c r="R480" s="28" t="s">
        <v>620</v>
      </c>
      <c r="S480" s="42" t="str">
        <f aca="false">IF(ISNUMBER($AF480),INDEX(IDX_SrcStat,$AF480),"—")</f>
        <v>—</v>
      </c>
      <c r="T480" s="42" t="str">
        <f aca="false">IF(ISNUMBER($AF480),INDEX(IDX_SrcGrade,$AF480),"—")</f>
        <v>—</v>
      </c>
      <c r="U480" s="42" t="s">
        <v>3886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2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2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5080</v>
      </c>
      <c r="B481" s="224" t="s">
        <v>4951</v>
      </c>
      <c r="C481" s="28" t="s">
        <v>4952</v>
      </c>
      <c r="D481" s="28" t="s">
        <v>5081</v>
      </c>
      <c r="E481" s="6" t="s">
        <v>1238</v>
      </c>
      <c r="F481" s="28" t="s">
        <v>104</v>
      </c>
      <c r="G481" s="224" t="s">
        <v>3882</v>
      </c>
      <c r="H481" s="28" t="s">
        <v>5082</v>
      </c>
      <c r="I481" s="19" t="s">
        <v>5083</v>
      </c>
      <c r="J481" s="28" t="s">
        <v>620</v>
      </c>
      <c r="K481" s="226" t="n">
        <v>33</v>
      </c>
      <c r="L481" s="226" t="n">
        <v>39</v>
      </c>
      <c r="M481" s="28" t="s">
        <v>5084</v>
      </c>
      <c r="N481" s="19" t="s">
        <v>5085</v>
      </c>
      <c r="O481" s="6" t="s">
        <v>5086</v>
      </c>
      <c r="P481" s="224" t="s">
        <v>3885</v>
      </c>
      <c r="Q481" s="31" t="n">
        <f aca="false">Cap_In!I53</f>
        <v>36</v>
      </c>
      <c r="R481" s="177" t="n">
        <f aca="false">SRC_CAP_007</f>
        <v>36</v>
      </c>
      <c r="S481" s="42" t="str">
        <f aca="false">IF(ISNUMBER($AF481),INDEX(IDX_SrcStat,$AF481),"—")</f>
        <v>Active</v>
      </c>
      <c r="T481" s="42" t="n">
        <f aca="false">IF(ISNUMBER($AF481),INDEX(IDX_SrcGrade,$AF481),"—")</f>
        <v>2</v>
      </c>
      <c r="U481" s="42" t="s">
        <v>3886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2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2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5087</v>
      </c>
      <c r="B482" s="224" t="s">
        <v>4951</v>
      </c>
      <c r="C482" s="28" t="s">
        <v>4952</v>
      </c>
      <c r="D482" s="28" t="s">
        <v>5088</v>
      </c>
      <c r="E482" s="6" t="s">
        <v>1246</v>
      </c>
      <c r="F482" s="28" t="s">
        <v>104</v>
      </c>
      <c r="G482" s="224" t="s">
        <v>3882</v>
      </c>
      <c r="H482" s="28" t="s">
        <v>5089</v>
      </c>
      <c r="I482" s="19" t="s">
        <v>5090</v>
      </c>
      <c r="J482" s="28" t="s">
        <v>620</v>
      </c>
      <c r="K482" s="226" t="n">
        <v>37</v>
      </c>
      <c r="L482" s="226" t="n">
        <v>43</v>
      </c>
      <c r="M482" s="28" t="s">
        <v>5091</v>
      </c>
      <c r="N482" s="19" t="s">
        <v>5092</v>
      </c>
      <c r="O482" s="6" t="s">
        <v>5093</v>
      </c>
      <c r="P482" s="224" t="s">
        <v>3885</v>
      </c>
      <c r="Q482" s="31" t="n">
        <f aca="false">Cap_In!I56</f>
        <v>40</v>
      </c>
      <c r="R482" s="177" t="n">
        <f aca="false">SRC_CAP_006</f>
        <v>40</v>
      </c>
      <c r="S482" s="42" t="str">
        <f aca="false">IF(ISNUMBER($AF482),INDEX(IDX_SrcStat,$AF482),"—")</f>
        <v>Active</v>
      </c>
      <c r="T482" s="42" t="n">
        <f aca="false">IF(ISNUMBER($AF482),INDEX(IDX_SrcGrade,$AF482),"—")</f>
        <v>2</v>
      </c>
      <c r="U482" s="42" t="s">
        <v>3886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2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2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5094</v>
      </c>
      <c r="B483" s="224" t="s">
        <v>4951</v>
      </c>
      <c r="C483" s="28" t="s">
        <v>5095</v>
      </c>
      <c r="D483" s="28" t="s">
        <v>4541</v>
      </c>
      <c r="E483" s="19" t="s">
        <v>5096</v>
      </c>
      <c r="F483" s="28" t="s">
        <v>92</v>
      </c>
      <c r="G483" s="224" t="s">
        <v>3882</v>
      </c>
      <c r="H483" s="28" t="s">
        <v>620</v>
      </c>
      <c r="I483" s="6" t="s">
        <v>620</v>
      </c>
      <c r="J483" s="28" t="s">
        <v>4608</v>
      </c>
      <c r="K483" s="224"/>
      <c r="L483" s="224"/>
      <c r="M483" s="224" t="s">
        <v>3778</v>
      </c>
      <c r="N483" s="6" t="s">
        <v>5097</v>
      </c>
      <c r="O483" s="6" t="s">
        <v>620</v>
      </c>
      <c r="P483" s="224" t="s">
        <v>3885</v>
      </c>
      <c r="Q483" s="31" t="n">
        <f aca="false">Har_In!C5</f>
        <v>2</v>
      </c>
      <c r="R483" s="28" t="s">
        <v>620</v>
      </c>
      <c r="S483" s="42" t="str">
        <f aca="false">IF(ISNUMBER($AF483),INDEX(IDX_SrcStat,$AF483),"—")</f>
        <v>—</v>
      </c>
      <c r="T483" s="42" t="str">
        <f aca="false">IF(ISNUMBER($AF483),INDEX(IDX_SrcGrade,$AF483),"—")</f>
        <v>—</v>
      </c>
      <c r="U483" s="42" t="s">
        <v>3886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2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2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5098</v>
      </c>
      <c r="B484" s="224" t="s">
        <v>4951</v>
      </c>
      <c r="C484" s="28" t="s">
        <v>5095</v>
      </c>
      <c r="D484" s="28" t="s">
        <v>4058</v>
      </c>
      <c r="E484" s="19" t="s">
        <v>5099</v>
      </c>
      <c r="F484" s="28" t="s">
        <v>92</v>
      </c>
      <c r="G484" s="224" t="s">
        <v>3882</v>
      </c>
      <c r="H484" s="28" t="s">
        <v>620</v>
      </c>
      <c r="I484" s="6" t="s">
        <v>620</v>
      </c>
      <c r="J484" s="28" t="s">
        <v>3830</v>
      </c>
      <c r="K484" s="226" t="n">
        <v>0</v>
      </c>
      <c r="L484" s="226" t="n">
        <v>0.8</v>
      </c>
      <c r="M484" s="28" t="s">
        <v>5100</v>
      </c>
      <c r="N484" s="6" t="s">
        <v>5101</v>
      </c>
      <c r="O484" s="6" t="s">
        <v>620</v>
      </c>
      <c r="P484" s="224" t="s">
        <v>3885</v>
      </c>
      <c r="Q484" s="187" t="n">
        <f aca="false">Har_In!C8</f>
        <v>0.5</v>
      </c>
      <c r="R484" s="28" t="s">
        <v>620</v>
      </c>
      <c r="S484" s="42" t="str">
        <f aca="false">IF(ISNUMBER($AF484),INDEX(IDX_SrcStat,$AF484),"—")</f>
        <v>—</v>
      </c>
      <c r="T484" s="42" t="str">
        <f aca="false">IF(ISNUMBER($AF484),INDEX(IDX_SrcGrade,$AF484),"—")</f>
        <v>—</v>
      </c>
      <c r="U484" s="42" t="s">
        <v>3886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2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2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5102</v>
      </c>
      <c r="B485" s="224" t="s">
        <v>4951</v>
      </c>
      <c r="C485" s="28" t="s">
        <v>5095</v>
      </c>
      <c r="D485" s="28" t="s">
        <v>5103</v>
      </c>
      <c r="E485" s="19" t="s">
        <v>1923</v>
      </c>
      <c r="F485" s="28" t="s">
        <v>100</v>
      </c>
      <c r="G485" s="224" t="s">
        <v>4636</v>
      </c>
      <c r="H485" s="28" t="s">
        <v>620</v>
      </c>
      <c r="I485" s="6" t="s">
        <v>620</v>
      </c>
      <c r="J485" s="28" t="s">
        <v>620</v>
      </c>
      <c r="K485" s="224"/>
      <c r="L485" s="224"/>
      <c r="M485" s="28" t="s">
        <v>5104</v>
      </c>
      <c r="N485" s="19" t="s">
        <v>5105</v>
      </c>
      <c r="O485" s="6" t="s">
        <v>620</v>
      </c>
      <c r="P485" s="224" t="s">
        <v>3885</v>
      </c>
      <c r="Q485" s="177" t="s">
        <v>620</v>
      </c>
      <c r="R485" s="28" t="s">
        <v>620</v>
      </c>
      <c r="S485" s="42" t="str">
        <f aca="false">IF(ISNUMBER($AF485),INDEX(IDX_SrcStat,$AF485),"—")</f>
        <v>—</v>
      </c>
      <c r="T485" s="42" t="str">
        <f aca="false">IF(ISNUMBER($AF485),INDEX(IDX_SrcGrade,$AF485),"—")</f>
        <v>—</v>
      </c>
      <c r="U485" s="28" t="s">
        <v>620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2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2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5106</v>
      </c>
      <c r="B486" s="224" t="s">
        <v>4951</v>
      </c>
      <c r="C486" s="28" t="s">
        <v>5095</v>
      </c>
      <c r="D486" s="28" t="s">
        <v>5107</v>
      </c>
      <c r="E486" s="19" t="s">
        <v>5108</v>
      </c>
      <c r="F486" s="28" t="s">
        <v>100</v>
      </c>
      <c r="G486" s="224" t="s">
        <v>4636</v>
      </c>
      <c r="H486" s="28" t="s">
        <v>620</v>
      </c>
      <c r="I486" s="6" t="s">
        <v>620</v>
      </c>
      <c r="J486" s="28" t="s">
        <v>620</v>
      </c>
      <c r="K486" s="224"/>
      <c r="L486" s="224"/>
      <c r="M486" s="28" t="s">
        <v>5109</v>
      </c>
      <c r="N486" s="19" t="s">
        <v>5110</v>
      </c>
      <c r="O486" s="6" t="s">
        <v>5111</v>
      </c>
      <c r="P486" s="224" t="s">
        <v>3885</v>
      </c>
      <c r="Q486" s="177" t="s">
        <v>620</v>
      </c>
      <c r="R486" s="28" t="s">
        <v>620</v>
      </c>
      <c r="S486" s="42" t="str">
        <f aca="false">IF(ISNUMBER($AF486),INDEX(IDX_SrcStat,$AF486),"—")</f>
        <v>—</v>
      </c>
      <c r="T486" s="42" t="str">
        <f aca="false">IF(ISNUMBER($AF486),INDEX(IDX_SrcGrade,$AF486),"—")</f>
        <v>—</v>
      </c>
      <c r="U486" s="28" t="s">
        <v>620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2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2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5112</v>
      </c>
      <c r="B487" s="224" t="s">
        <v>4951</v>
      </c>
      <c r="C487" s="28" t="s">
        <v>5095</v>
      </c>
      <c r="D487" s="28" t="s">
        <v>5113</v>
      </c>
      <c r="E487" s="19" t="s">
        <v>1928</v>
      </c>
      <c r="F487" s="28" t="s">
        <v>100</v>
      </c>
      <c r="G487" s="224" t="s">
        <v>4636</v>
      </c>
      <c r="H487" s="28" t="s">
        <v>620</v>
      </c>
      <c r="I487" s="6" t="s">
        <v>620</v>
      </c>
      <c r="J487" s="28" t="s">
        <v>620</v>
      </c>
      <c r="K487" s="224"/>
      <c r="L487" s="224"/>
      <c r="M487" s="28" t="s">
        <v>5114</v>
      </c>
      <c r="N487" s="19" t="s">
        <v>5115</v>
      </c>
      <c r="O487" s="6" t="s">
        <v>620</v>
      </c>
      <c r="P487" s="224" t="s">
        <v>3885</v>
      </c>
      <c r="Q487" s="177" t="s">
        <v>620</v>
      </c>
      <c r="R487" s="28" t="s">
        <v>620</v>
      </c>
      <c r="S487" s="42" t="str">
        <f aca="false">IF(ISNUMBER($AF487),INDEX(IDX_SrcStat,$AF487),"—")</f>
        <v>—</v>
      </c>
      <c r="T487" s="42" t="str">
        <f aca="false">IF(ISNUMBER($AF487),INDEX(IDX_SrcGrade,$AF487),"—")</f>
        <v>—</v>
      </c>
      <c r="U487" s="28" t="s">
        <v>620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2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2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5116</v>
      </c>
      <c r="B488" s="224" t="s">
        <v>4951</v>
      </c>
      <c r="C488" s="28" t="s">
        <v>5095</v>
      </c>
      <c r="D488" s="28" t="s">
        <v>5117</v>
      </c>
      <c r="E488" s="19" t="s">
        <v>5118</v>
      </c>
      <c r="F488" s="28" t="s">
        <v>100</v>
      </c>
      <c r="G488" s="224" t="s">
        <v>4636</v>
      </c>
      <c r="H488" s="28" t="s">
        <v>620</v>
      </c>
      <c r="I488" s="6" t="s">
        <v>620</v>
      </c>
      <c r="J488" s="28" t="s">
        <v>620</v>
      </c>
      <c r="K488" s="224"/>
      <c r="L488" s="224"/>
      <c r="M488" s="28" t="s">
        <v>5119</v>
      </c>
      <c r="N488" s="19" t="s">
        <v>5120</v>
      </c>
      <c r="O488" s="6" t="s">
        <v>620</v>
      </c>
      <c r="P488" s="224" t="s">
        <v>3885</v>
      </c>
      <c r="Q488" s="177" t="s">
        <v>620</v>
      </c>
      <c r="R488" s="28" t="s">
        <v>620</v>
      </c>
      <c r="S488" s="42" t="str">
        <f aca="false">IF(ISNUMBER($AF488),INDEX(IDX_SrcStat,$AF488),"—")</f>
        <v>—</v>
      </c>
      <c r="T488" s="42" t="str">
        <f aca="false">IF(ISNUMBER($AF488),INDEX(IDX_SrcGrade,$AF488),"—")</f>
        <v>—</v>
      </c>
      <c r="U488" s="28" t="s">
        <v>620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2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2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5121</v>
      </c>
      <c r="B489" s="224" t="s">
        <v>4951</v>
      </c>
      <c r="C489" s="28" t="s">
        <v>5095</v>
      </c>
      <c r="D489" s="28" t="s">
        <v>5122</v>
      </c>
      <c r="E489" s="19" t="s">
        <v>1932</v>
      </c>
      <c r="F489" s="28" t="s">
        <v>100</v>
      </c>
      <c r="G489" s="224" t="s">
        <v>4636</v>
      </c>
      <c r="H489" s="28" t="s">
        <v>620</v>
      </c>
      <c r="I489" s="6" t="s">
        <v>620</v>
      </c>
      <c r="J489" s="28" t="s">
        <v>620</v>
      </c>
      <c r="K489" s="224"/>
      <c r="L489" s="224"/>
      <c r="M489" s="28" t="s">
        <v>5123</v>
      </c>
      <c r="N489" s="19" t="s">
        <v>5124</v>
      </c>
      <c r="O489" s="6" t="s">
        <v>620</v>
      </c>
      <c r="P489" s="224" t="s">
        <v>3885</v>
      </c>
      <c r="Q489" s="177" t="s">
        <v>620</v>
      </c>
      <c r="R489" s="28" t="s">
        <v>620</v>
      </c>
      <c r="S489" s="42" t="str">
        <f aca="false">IF(ISNUMBER($AF489),INDEX(IDX_SrcStat,$AF489),"—")</f>
        <v>—</v>
      </c>
      <c r="T489" s="42" t="str">
        <f aca="false">IF(ISNUMBER($AF489),INDEX(IDX_SrcGrade,$AF489),"—")</f>
        <v>—</v>
      </c>
      <c r="U489" s="28" t="s">
        <v>620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2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2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5125</v>
      </c>
      <c r="B490" s="224" t="s">
        <v>4951</v>
      </c>
      <c r="C490" s="28" t="s">
        <v>5095</v>
      </c>
      <c r="D490" s="28" t="s">
        <v>5126</v>
      </c>
      <c r="E490" s="19" t="s">
        <v>1935</v>
      </c>
      <c r="F490" s="28" t="s">
        <v>100</v>
      </c>
      <c r="G490" s="224" t="s">
        <v>4636</v>
      </c>
      <c r="H490" s="28" t="s">
        <v>620</v>
      </c>
      <c r="I490" s="6" t="s">
        <v>620</v>
      </c>
      <c r="J490" s="28" t="s">
        <v>620</v>
      </c>
      <c r="K490" s="224"/>
      <c r="L490" s="224"/>
      <c r="M490" s="28" t="s">
        <v>5127</v>
      </c>
      <c r="N490" s="19" t="s">
        <v>5128</v>
      </c>
      <c r="O490" s="6" t="s">
        <v>620</v>
      </c>
      <c r="P490" s="224" t="s">
        <v>3885</v>
      </c>
      <c r="Q490" s="177" t="s">
        <v>620</v>
      </c>
      <c r="R490" s="28" t="s">
        <v>620</v>
      </c>
      <c r="S490" s="42" t="str">
        <f aca="false">IF(ISNUMBER($AF490),INDEX(IDX_SrcStat,$AF490),"—")</f>
        <v>—</v>
      </c>
      <c r="T490" s="42" t="str">
        <f aca="false">IF(ISNUMBER($AF490),INDEX(IDX_SrcGrade,$AF490),"—")</f>
        <v>—</v>
      </c>
      <c r="U490" s="28" t="s">
        <v>620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2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2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5129</v>
      </c>
      <c r="B491" s="224" t="s">
        <v>4951</v>
      </c>
      <c r="C491" s="28" t="s">
        <v>5095</v>
      </c>
      <c r="D491" s="28" t="s">
        <v>5130</v>
      </c>
      <c r="E491" s="19" t="s">
        <v>1939</v>
      </c>
      <c r="F491" s="28" t="s">
        <v>100</v>
      </c>
      <c r="G491" s="224" t="s">
        <v>4636</v>
      </c>
      <c r="H491" s="28" t="s">
        <v>620</v>
      </c>
      <c r="I491" s="6" t="s">
        <v>620</v>
      </c>
      <c r="J491" s="28" t="s">
        <v>620</v>
      </c>
      <c r="K491" s="224"/>
      <c r="L491" s="224"/>
      <c r="M491" s="28" t="s">
        <v>5131</v>
      </c>
      <c r="N491" s="19" t="s">
        <v>5132</v>
      </c>
      <c r="O491" s="6" t="s">
        <v>620</v>
      </c>
      <c r="P491" s="224" t="s">
        <v>3885</v>
      </c>
      <c r="Q491" s="177" t="s">
        <v>620</v>
      </c>
      <c r="R491" s="28" t="s">
        <v>620</v>
      </c>
      <c r="S491" s="42" t="str">
        <f aca="false">IF(ISNUMBER($AF491),INDEX(IDX_SrcStat,$AF491),"—")</f>
        <v>—</v>
      </c>
      <c r="T491" s="42" t="str">
        <f aca="false">IF(ISNUMBER($AF491),INDEX(IDX_SrcGrade,$AF491),"—")</f>
        <v>—</v>
      </c>
      <c r="U491" s="28" t="s">
        <v>620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2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2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5133</v>
      </c>
      <c r="B492" s="224" t="s">
        <v>4951</v>
      </c>
      <c r="C492" s="28" t="s">
        <v>5095</v>
      </c>
      <c r="D492" s="28" t="s">
        <v>5134</v>
      </c>
      <c r="E492" s="19" t="s">
        <v>1937</v>
      </c>
      <c r="F492" s="28" t="s">
        <v>104</v>
      </c>
      <c r="G492" s="224" t="s">
        <v>4636</v>
      </c>
      <c r="H492" s="28" t="s">
        <v>5135</v>
      </c>
      <c r="I492" s="19" t="s">
        <v>5136</v>
      </c>
      <c r="J492" s="28" t="s">
        <v>620</v>
      </c>
      <c r="K492" s="224"/>
      <c r="L492" s="224"/>
      <c r="M492" s="28" t="s">
        <v>5137</v>
      </c>
      <c r="N492" s="19" t="s">
        <v>5138</v>
      </c>
      <c r="O492" s="6" t="s">
        <v>620</v>
      </c>
      <c r="P492" s="224" t="s">
        <v>3885</v>
      </c>
      <c r="Q492" s="177" t="s">
        <v>620</v>
      </c>
      <c r="R492" s="177" t="n">
        <f aca="false">SRC_HAR_003</f>
        <v>0.627</v>
      </c>
      <c r="S492" s="42" t="str">
        <f aca="false">IF(ISNUMBER($AF492),INDEX(IDX_SrcStat,$AF492),"—")</f>
        <v>Active</v>
      </c>
      <c r="T492" s="42" t="n">
        <f aca="false">IF(ISNUMBER($AF492),INDEX(IDX_SrcGrade,$AF492),"—")</f>
        <v>2</v>
      </c>
      <c r="U492" s="28" t="s">
        <v>620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2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2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5139</v>
      </c>
      <c r="B493" s="224" t="s">
        <v>4951</v>
      </c>
      <c r="C493" s="28" t="s">
        <v>5095</v>
      </c>
      <c r="D493" s="28" t="s">
        <v>5140</v>
      </c>
      <c r="E493" s="19" t="s">
        <v>5141</v>
      </c>
      <c r="F493" s="28" t="s">
        <v>100</v>
      </c>
      <c r="G493" s="224" t="s">
        <v>4636</v>
      </c>
      <c r="H493" s="28" t="s">
        <v>620</v>
      </c>
      <c r="I493" s="6" t="s">
        <v>620</v>
      </c>
      <c r="J493" s="28" t="s">
        <v>620</v>
      </c>
      <c r="K493" s="224"/>
      <c r="L493" s="224"/>
      <c r="M493" s="224" t="s">
        <v>3778</v>
      </c>
      <c r="N493" s="19" t="s">
        <v>5142</v>
      </c>
      <c r="O493" s="6" t="s">
        <v>5143</v>
      </c>
      <c r="P493" s="224" t="s">
        <v>3885</v>
      </c>
      <c r="Q493" s="177" t="s">
        <v>620</v>
      </c>
      <c r="R493" s="28" t="s">
        <v>620</v>
      </c>
      <c r="S493" s="42" t="str">
        <f aca="false">IF(ISNUMBER($AF493),INDEX(IDX_SrcStat,$AF493),"—")</f>
        <v>—</v>
      </c>
      <c r="T493" s="42" t="str">
        <f aca="false">IF(ISNUMBER($AF493),INDEX(IDX_SrcGrade,$AF493),"—")</f>
        <v>—</v>
      </c>
      <c r="U493" s="28" t="s">
        <v>620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2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2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5144</v>
      </c>
      <c r="B494" s="224" t="s">
        <v>4951</v>
      </c>
      <c r="C494" s="28" t="s">
        <v>5095</v>
      </c>
      <c r="D494" s="28" t="s">
        <v>5145</v>
      </c>
      <c r="E494" s="19" t="s">
        <v>1923</v>
      </c>
      <c r="F494" s="28" t="s">
        <v>100</v>
      </c>
      <c r="G494" s="224" t="s">
        <v>4636</v>
      </c>
      <c r="H494" s="28" t="s">
        <v>620</v>
      </c>
      <c r="I494" s="6" t="s">
        <v>620</v>
      </c>
      <c r="J494" s="28" t="s">
        <v>620</v>
      </c>
      <c r="K494" s="224"/>
      <c r="L494" s="224"/>
      <c r="M494" s="28" t="s">
        <v>5146</v>
      </c>
      <c r="N494" s="19" t="s">
        <v>5147</v>
      </c>
      <c r="O494" s="6" t="s">
        <v>620</v>
      </c>
      <c r="P494" s="224" t="s">
        <v>3885</v>
      </c>
      <c r="Q494" s="177" t="s">
        <v>620</v>
      </c>
      <c r="R494" s="28" t="s">
        <v>620</v>
      </c>
      <c r="S494" s="42" t="str">
        <f aca="false">IF(ISNUMBER($AF494),INDEX(IDX_SrcStat,$AF494),"—")</f>
        <v>—</v>
      </c>
      <c r="T494" s="42" t="str">
        <f aca="false">IF(ISNUMBER($AF494),INDEX(IDX_SrcGrade,$AF494),"—")</f>
        <v>—</v>
      </c>
      <c r="U494" s="28" t="s">
        <v>620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2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2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5148</v>
      </c>
      <c r="B495" s="224" t="s">
        <v>4951</v>
      </c>
      <c r="C495" s="28" t="s">
        <v>5095</v>
      </c>
      <c r="D495" s="28" t="s">
        <v>5149</v>
      </c>
      <c r="E495" s="19" t="s">
        <v>5108</v>
      </c>
      <c r="F495" s="28" t="s">
        <v>100</v>
      </c>
      <c r="G495" s="224" t="s">
        <v>4636</v>
      </c>
      <c r="H495" s="28" t="s">
        <v>620</v>
      </c>
      <c r="I495" s="6" t="s">
        <v>620</v>
      </c>
      <c r="J495" s="28" t="s">
        <v>620</v>
      </c>
      <c r="K495" s="224"/>
      <c r="L495" s="224"/>
      <c r="M495" s="28" t="s">
        <v>5109</v>
      </c>
      <c r="N495" s="19" t="s">
        <v>5150</v>
      </c>
      <c r="O495" s="6" t="s">
        <v>620</v>
      </c>
      <c r="P495" s="224" t="s">
        <v>3885</v>
      </c>
      <c r="Q495" s="177" t="s">
        <v>620</v>
      </c>
      <c r="R495" s="28" t="s">
        <v>620</v>
      </c>
      <c r="S495" s="42" t="str">
        <f aca="false">IF(ISNUMBER($AF495),INDEX(IDX_SrcStat,$AF495),"—")</f>
        <v>—</v>
      </c>
      <c r="T495" s="42" t="str">
        <f aca="false">IF(ISNUMBER($AF495),INDEX(IDX_SrcGrade,$AF495),"—")</f>
        <v>—</v>
      </c>
      <c r="U495" s="28" t="s">
        <v>620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2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2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5151</v>
      </c>
      <c r="B496" s="224" t="s">
        <v>4951</v>
      </c>
      <c r="C496" s="28" t="s">
        <v>5095</v>
      </c>
      <c r="D496" s="28" t="s">
        <v>5152</v>
      </c>
      <c r="E496" s="19" t="s">
        <v>1928</v>
      </c>
      <c r="F496" s="28" t="s">
        <v>100</v>
      </c>
      <c r="G496" s="224" t="s">
        <v>4636</v>
      </c>
      <c r="H496" s="28" t="s">
        <v>620</v>
      </c>
      <c r="I496" s="6" t="s">
        <v>620</v>
      </c>
      <c r="J496" s="28" t="s">
        <v>620</v>
      </c>
      <c r="K496" s="224"/>
      <c r="L496" s="224"/>
      <c r="M496" s="28" t="s">
        <v>5153</v>
      </c>
      <c r="N496" s="19" t="s">
        <v>5154</v>
      </c>
      <c r="O496" s="6" t="s">
        <v>620</v>
      </c>
      <c r="P496" s="224" t="s">
        <v>3885</v>
      </c>
      <c r="Q496" s="177" t="s">
        <v>620</v>
      </c>
      <c r="R496" s="28" t="s">
        <v>620</v>
      </c>
      <c r="S496" s="42" t="str">
        <f aca="false">IF(ISNUMBER($AF496),INDEX(IDX_SrcStat,$AF496),"—")</f>
        <v>—</v>
      </c>
      <c r="T496" s="42" t="str">
        <f aca="false">IF(ISNUMBER($AF496),INDEX(IDX_SrcGrade,$AF496),"—")</f>
        <v>—</v>
      </c>
      <c r="U496" s="28" t="s">
        <v>620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2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2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5155</v>
      </c>
      <c r="B497" s="224" t="s">
        <v>4951</v>
      </c>
      <c r="C497" s="28" t="s">
        <v>5095</v>
      </c>
      <c r="D497" s="28" t="s">
        <v>5156</v>
      </c>
      <c r="E497" s="19" t="s">
        <v>5118</v>
      </c>
      <c r="F497" s="28" t="s">
        <v>100</v>
      </c>
      <c r="G497" s="224" t="s">
        <v>4636</v>
      </c>
      <c r="H497" s="28" t="s">
        <v>620</v>
      </c>
      <c r="I497" s="6" t="s">
        <v>620</v>
      </c>
      <c r="J497" s="28" t="s">
        <v>620</v>
      </c>
      <c r="K497" s="224"/>
      <c r="L497" s="224"/>
      <c r="M497" s="28" t="s">
        <v>5157</v>
      </c>
      <c r="N497" s="19" t="s">
        <v>5158</v>
      </c>
      <c r="O497" s="6" t="s">
        <v>620</v>
      </c>
      <c r="P497" s="224" t="s">
        <v>3885</v>
      </c>
      <c r="Q497" s="177" t="s">
        <v>620</v>
      </c>
      <c r="R497" s="28" t="s">
        <v>620</v>
      </c>
      <c r="S497" s="42" t="str">
        <f aca="false">IF(ISNUMBER($AF497),INDEX(IDX_SrcStat,$AF497),"—")</f>
        <v>—</v>
      </c>
      <c r="T497" s="42" t="str">
        <f aca="false">IF(ISNUMBER($AF497),INDEX(IDX_SrcGrade,$AF497),"—")</f>
        <v>—</v>
      </c>
      <c r="U497" s="28" t="s">
        <v>620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2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2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5159</v>
      </c>
      <c r="B498" s="224" t="s">
        <v>4951</v>
      </c>
      <c r="C498" s="28" t="s">
        <v>5095</v>
      </c>
      <c r="D498" s="28" t="s">
        <v>5160</v>
      </c>
      <c r="E498" s="19" t="s">
        <v>1932</v>
      </c>
      <c r="F498" s="28" t="s">
        <v>100</v>
      </c>
      <c r="G498" s="224" t="s">
        <v>4636</v>
      </c>
      <c r="H498" s="28" t="s">
        <v>620</v>
      </c>
      <c r="I498" s="6" t="s">
        <v>620</v>
      </c>
      <c r="J498" s="28" t="s">
        <v>620</v>
      </c>
      <c r="K498" s="224"/>
      <c r="L498" s="224"/>
      <c r="M498" s="28" t="s">
        <v>5123</v>
      </c>
      <c r="N498" s="19" t="s">
        <v>5161</v>
      </c>
      <c r="O498" s="6" t="s">
        <v>620</v>
      </c>
      <c r="P498" s="224" t="s">
        <v>3885</v>
      </c>
      <c r="Q498" s="177" t="s">
        <v>620</v>
      </c>
      <c r="R498" s="28" t="s">
        <v>620</v>
      </c>
      <c r="S498" s="42" t="str">
        <f aca="false">IF(ISNUMBER($AF498),INDEX(IDX_SrcStat,$AF498),"—")</f>
        <v>—</v>
      </c>
      <c r="T498" s="42" t="str">
        <f aca="false">IF(ISNUMBER($AF498),INDEX(IDX_SrcGrade,$AF498),"—")</f>
        <v>—</v>
      </c>
      <c r="U498" s="28" t="s">
        <v>620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2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2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5162</v>
      </c>
      <c r="B499" s="224" t="s">
        <v>4951</v>
      </c>
      <c r="C499" s="28" t="s">
        <v>5095</v>
      </c>
      <c r="D499" s="28" t="s">
        <v>5163</v>
      </c>
      <c r="E499" s="19" t="s">
        <v>1937</v>
      </c>
      <c r="F499" s="28" t="s">
        <v>100</v>
      </c>
      <c r="G499" s="224" t="s">
        <v>4636</v>
      </c>
      <c r="H499" s="28" t="s">
        <v>620</v>
      </c>
      <c r="I499" s="6" t="s">
        <v>620</v>
      </c>
      <c r="J499" s="28" t="s">
        <v>620</v>
      </c>
      <c r="K499" s="224"/>
      <c r="L499" s="224"/>
      <c r="M499" s="28" t="s">
        <v>5164</v>
      </c>
      <c r="N499" s="19" t="s">
        <v>5165</v>
      </c>
      <c r="O499" s="6" t="s">
        <v>620</v>
      </c>
      <c r="P499" s="224" t="s">
        <v>3885</v>
      </c>
      <c r="Q499" s="177" t="s">
        <v>620</v>
      </c>
      <c r="R499" s="28" t="s">
        <v>620</v>
      </c>
      <c r="S499" s="42" t="str">
        <f aca="false">IF(ISNUMBER($AF499),INDEX(IDX_SrcStat,$AF499),"—")</f>
        <v>—</v>
      </c>
      <c r="T499" s="42" t="str">
        <f aca="false">IF(ISNUMBER($AF499),INDEX(IDX_SrcGrade,$AF499),"—")</f>
        <v>—</v>
      </c>
      <c r="U499" s="28" t="s">
        <v>620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2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2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5166</v>
      </c>
      <c r="B500" s="224" t="s">
        <v>4951</v>
      </c>
      <c r="C500" s="28" t="s">
        <v>5095</v>
      </c>
      <c r="D500" s="28" t="s">
        <v>5167</v>
      </c>
      <c r="E500" s="19" t="s">
        <v>1939</v>
      </c>
      <c r="F500" s="28" t="s">
        <v>100</v>
      </c>
      <c r="G500" s="224" t="s">
        <v>4636</v>
      </c>
      <c r="H500" s="28" t="s">
        <v>620</v>
      </c>
      <c r="I500" s="6" t="s">
        <v>620</v>
      </c>
      <c r="J500" s="28" t="s">
        <v>620</v>
      </c>
      <c r="K500" s="224"/>
      <c r="L500" s="224"/>
      <c r="M500" s="28" t="s">
        <v>5168</v>
      </c>
      <c r="N500" s="19" t="s">
        <v>5169</v>
      </c>
      <c r="O500" s="6" t="s">
        <v>620</v>
      </c>
      <c r="P500" s="224" t="s">
        <v>3885</v>
      </c>
      <c r="Q500" s="177" t="s">
        <v>620</v>
      </c>
      <c r="R500" s="28" t="s">
        <v>620</v>
      </c>
      <c r="S500" s="42" t="str">
        <f aca="false">IF(ISNUMBER($AF500),INDEX(IDX_SrcStat,$AF500),"—")</f>
        <v>—</v>
      </c>
      <c r="T500" s="42" t="str">
        <f aca="false">IF(ISNUMBER($AF500),INDEX(IDX_SrcGrade,$AF500),"—")</f>
        <v>—</v>
      </c>
      <c r="U500" s="28" t="s">
        <v>620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2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2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5170</v>
      </c>
      <c r="B501" s="224" t="s">
        <v>4951</v>
      </c>
      <c r="C501" s="28" t="s">
        <v>5095</v>
      </c>
      <c r="D501" s="28" t="s">
        <v>5171</v>
      </c>
      <c r="E501" s="19" t="s">
        <v>5141</v>
      </c>
      <c r="F501" s="28" t="s">
        <v>100</v>
      </c>
      <c r="G501" s="224" t="s">
        <v>4636</v>
      </c>
      <c r="H501" s="28" t="s">
        <v>620</v>
      </c>
      <c r="I501" s="6" t="s">
        <v>620</v>
      </c>
      <c r="J501" s="28" t="s">
        <v>620</v>
      </c>
      <c r="K501" s="224"/>
      <c r="L501" s="224"/>
      <c r="M501" s="224" t="s">
        <v>3778</v>
      </c>
      <c r="N501" s="19" t="s">
        <v>5172</v>
      </c>
      <c r="O501" s="6" t="s">
        <v>620</v>
      </c>
      <c r="P501" s="224" t="s">
        <v>3885</v>
      </c>
      <c r="Q501" s="177" t="s">
        <v>620</v>
      </c>
      <c r="R501" s="28" t="s">
        <v>620</v>
      </c>
      <c r="S501" s="42" t="str">
        <f aca="false">IF(ISNUMBER($AF501),INDEX(IDX_SrcStat,$AF501),"—")</f>
        <v>—</v>
      </c>
      <c r="T501" s="42" t="str">
        <f aca="false">IF(ISNUMBER($AF501),INDEX(IDX_SrcGrade,$AF501),"—")</f>
        <v>—</v>
      </c>
      <c r="U501" s="28" t="s">
        <v>620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2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2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5173</v>
      </c>
      <c r="B502" s="224" t="s">
        <v>4951</v>
      </c>
      <c r="C502" s="28" t="s">
        <v>5095</v>
      </c>
      <c r="D502" s="28" t="s">
        <v>5174</v>
      </c>
      <c r="E502" s="19" t="s">
        <v>1935</v>
      </c>
      <c r="F502" s="28" t="s">
        <v>104</v>
      </c>
      <c r="G502" s="224" t="s">
        <v>4636</v>
      </c>
      <c r="H502" s="28" t="s">
        <v>4627</v>
      </c>
      <c r="I502" s="19" t="s">
        <v>5175</v>
      </c>
      <c r="J502" s="28" t="s">
        <v>620</v>
      </c>
      <c r="K502" s="224"/>
      <c r="L502" s="224"/>
      <c r="M502" s="28" t="s">
        <v>5176</v>
      </c>
      <c r="N502" s="19" t="s">
        <v>5177</v>
      </c>
      <c r="O502" s="6" t="s">
        <v>620</v>
      </c>
      <c r="P502" s="224" t="s">
        <v>3885</v>
      </c>
      <c r="Q502" s="177" t="s">
        <v>620</v>
      </c>
      <c r="R502" s="177" t="n">
        <f aca="false">SRC_HAR_002</f>
        <v>15</v>
      </c>
      <c r="S502" s="42" t="str">
        <f aca="false">IF(ISNUMBER($AF502),INDEX(IDX_SrcStat,$AF502),"—")</f>
        <v>Active</v>
      </c>
      <c r="T502" s="42" t="n">
        <f aca="false">IF(ISNUMBER($AF502),INDEX(IDX_SrcGrade,$AF502),"—")</f>
        <v>2</v>
      </c>
      <c r="U502" s="28" t="s">
        <v>620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2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2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5178</v>
      </c>
      <c r="B503" s="224" t="s">
        <v>4951</v>
      </c>
      <c r="C503" s="28" t="s">
        <v>5095</v>
      </c>
      <c r="D503" s="28" t="s">
        <v>5179</v>
      </c>
      <c r="E503" s="6" t="s">
        <v>1949</v>
      </c>
      <c r="F503" s="28" t="s">
        <v>104</v>
      </c>
      <c r="G503" s="224" t="s">
        <v>4636</v>
      </c>
      <c r="H503" s="28" t="s">
        <v>5180</v>
      </c>
      <c r="I503" s="19" t="s">
        <v>5181</v>
      </c>
      <c r="J503" s="28" t="s">
        <v>620</v>
      </c>
      <c r="K503" s="224"/>
      <c r="L503" s="224"/>
      <c r="M503" s="224" t="s">
        <v>5182</v>
      </c>
      <c r="N503" s="19" t="s">
        <v>5183</v>
      </c>
      <c r="O503" s="6" t="s">
        <v>620</v>
      </c>
      <c r="P503" s="224" t="s">
        <v>3941</v>
      </c>
      <c r="Q503" s="177" t="s">
        <v>620</v>
      </c>
      <c r="R503" s="177" t="n">
        <f aca="false">SRC_CAP_020</f>
        <v>11.3</v>
      </c>
      <c r="S503" s="42" t="str">
        <f aca="false">IF(ISNUMBER($AF503),INDEX(IDX_SrcStat,$AF503),"—")</f>
        <v>Active</v>
      </c>
      <c r="T503" s="42" t="n">
        <f aca="false">IF(ISNUMBER($AF503),INDEX(IDX_SrcGrade,$AF503),"—")</f>
        <v>2</v>
      </c>
      <c r="U503" s="28" t="s">
        <v>620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2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2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5184</v>
      </c>
      <c r="B504" s="224" t="s">
        <v>4951</v>
      </c>
      <c r="C504" s="28" t="s">
        <v>5095</v>
      </c>
      <c r="D504" s="28" t="s">
        <v>5185</v>
      </c>
      <c r="E504" s="6" t="s">
        <v>1951</v>
      </c>
      <c r="F504" s="28" t="s">
        <v>104</v>
      </c>
      <c r="G504" s="224" t="s">
        <v>1150</v>
      </c>
      <c r="H504" s="28" t="s">
        <v>5180</v>
      </c>
      <c r="I504" s="19" t="s">
        <v>3905</v>
      </c>
      <c r="J504" s="28" t="s">
        <v>620</v>
      </c>
      <c r="K504" s="224"/>
      <c r="L504" s="224"/>
      <c r="M504" s="28" t="s">
        <v>620</v>
      </c>
      <c r="N504" s="19" t="s">
        <v>5186</v>
      </c>
      <c r="O504" s="6" t="s">
        <v>620</v>
      </c>
      <c r="P504" s="224" t="s">
        <v>3885</v>
      </c>
      <c r="Q504" s="177" t="s">
        <v>620</v>
      </c>
      <c r="R504" s="177" t="n">
        <f aca="false">SRC_CAP_020</f>
        <v>11.3</v>
      </c>
      <c r="S504" s="42" t="str">
        <f aca="false">IF(ISNUMBER($AF504),INDEX(IDX_SrcStat,$AF504),"—")</f>
        <v>Active</v>
      </c>
      <c r="T504" s="42" t="n">
        <f aca="false">IF(ISNUMBER($AF504),INDEX(IDX_SrcGrade,$AF504),"—")</f>
        <v>2</v>
      </c>
      <c r="U504" s="28" t="s">
        <v>620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2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2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5187</v>
      </c>
      <c r="B505" s="224" t="s">
        <v>4951</v>
      </c>
      <c r="C505" s="28" t="s">
        <v>5095</v>
      </c>
      <c r="D505" s="28" t="s">
        <v>5188</v>
      </c>
      <c r="E505" s="6" t="s">
        <v>1952</v>
      </c>
      <c r="F505" s="28" t="s">
        <v>104</v>
      </c>
      <c r="G505" s="224" t="s">
        <v>1151</v>
      </c>
      <c r="H505" s="28" t="s">
        <v>5189</v>
      </c>
      <c r="I505" s="19" t="s">
        <v>5190</v>
      </c>
      <c r="J505" s="28" t="s">
        <v>620</v>
      </c>
      <c r="K505" s="224"/>
      <c r="L505" s="224"/>
      <c r="M505" s="28" t="s">
        <v>620</v>
      </c>
      <c r="N505" s="19" t="s">
        <v>5191</v>
      </c>
      <c r="O505" s="6" t="s">
        <v>620</v>
      </c>
      <c r="P505" s="224" t="s">
        <v>3885</v>
      </c>
      <c r="Q505" s="177" t="s">
        <v>620</v>
      </c>
      <c r="R505" s="177" t="n">
        <f aca="false">SRC_CAP_021</f>
        <v>17.4</v>
      </c>
      <c r="S505" s="42" t="str">
        <f aca="false">IF(ISNUMBER($AF505),INDEX(IDX_SrcStat,$AF505),"—")</f>
        <v>Active</v>
      </c>
      <c r="T505" s="42" t="n">
        <f aca="false">IF(ISNUMBER($AF505),INDEX(IDX_SrcGrade,$AF505),"—")</f>
        <v>2</v>
      </c>
      <c r="U505" s="28" t="s">
        <v>620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2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2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5192</v>
      </c>
      <c r="B506" s="224" t="s">
        <v>4951</v>
      </c>
      <c r="C506" s="28" t="s">
        <v>5095</v>
      </c>
      <c r="D506" s="28" t="s">
        <v>5193</v>
      </c>
      <c r="E506" s="19" t="s">
        <v>5194</v>
      </c>
      <c r="F506" s="28" t="s">
        <v>104</v>
      </c>
      <c r="G506" s="224" t="s">
        <v>85</v>
      </c>
      <c r="H506" s="28" t="s">
        <v>5195</v>
      </c>
      <c r="I506" s="19" t="s">
        <v>5196</v>
      </c>
      <c r="J506" s="28" t="s">
        <v>620</v>
      </c>
      <c r="K506" s="185" t="n">
        <f aca="false">Har_In!D51</f>
        <v>0.65</v>
      </c>
      <c r="L506" s="185" t="n">
        <f aca="false">Har_In!E51</f>
        <v>1</v>
      </c>
      <c r="M506" s="28" t="s">
        <v>620</v>
      </c>
      <c r="N506" s="6" t="s">
        <v>5197</v>
      </c>
      <c r="O506" s="6" t="s">
        <v>5198</v>
      </c>
      <c r="P506" s="224" t="s">
        <v>3941</v>
      </c>
      <c r="Q506" s="185" t="n">
        <f aca="false">Har_In!C51</f>
        <v>0.75</v>
      </c>
      <c r="R506" s="177" t="n">
        <f aca="false">SRC_CAP_012</f>
        <v>3.5667</v>
      </c>
      <c r="S506" s="42" t="str">
        <f aca="false">IF(ISNUMBER($AF506),INDEX(IDX_SrcStat,$AF506),"—")</f>
        <v>Active</v>
      </c>
      <c r="T506" s="42" t="n">
        <f aca="false">IF(ISNUMBER($AF506),INDEX(IDX_SrcGrade,$AF506),"—")</f>
        <v>2</v>
      </c>
      <c r="U506" s="42" t="s">
        <v>3886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2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2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5199</v>
      </c>
      <c r="B507" s="224" t="s">
        <v>4951</v>
      </c>
      <c r="C507" s="28" t="s">
        <v>5095</v>
      </c>
      <c r="D507" s="28" t="s">
        <v>5200</v>
      </c>
      <c r="E507" s="19" t="s">
        <v>5194</v>
      </c>
      <c r="F507" s="28" t="s">
        <v>104</v>
      </c>
      <c r="G507" s="224" t="s">
        <v>4958</v>
      </c>
      <c r="H507" s="28" t="s">
        <v>5195</v>
      </c>
      <c r="I507" s="19" t="s">
        <v>5196</v>
      </c>
      <c r="J507" s="28" t="s">
        <v>620</v>
      </c>
      <c r="K507" s="224"/>
      <c r="L507" s="224"/>
      <c r="M507" s="28" t="s">
        <v>5201</v>
      </c>
      <c r="N507" s="6" t="s">
        <v>5202</v>
      </c>
      <c r="O507" s="6" t="s">
        <v>620</v>
      </c>
      <c r="P507" s="224" t="s">
        <v>3885</v>
      </c>
      <c r="Q507" s="177" t="s">
        <v>620</v>
      </c>
      <c r="R507" s="177" t="n">
        <f aca="false">SRC_CAP_012</f>
        <v>3.5667</v>
      </c>
      <c r="S507" s="42" t="str">
        <f aca="false">IF(ISNUMBER($AF507),INDEX(IDX_SrcStat,$AF507),"—")</f>
        <v>Active</v>
      </c>
      <c r="T507" s="42" t="n">
        <f aca="false">IF(ISNUMBER($AF507),INDEX(IDX_SrcGrade,$AF507),"—")</f>
        <v>2</v>
      </c>
      <c r="U507" s="28" t="s">
        <v>620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2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2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5203</v>
      </c>
      <c r="B508" s="224" t="s">
        <v>4951</v>
      </c>
      <c r="C508" s="28" t="s">
        <v>5095</v>
      </c>
      <c r="D508" s="28" t="s">
        <v>5204</v>
      </c>
      <c r="E508" s="19" t="s">
        <v>1957</v>
      </c>
      <c r="F508" s="28" t="s">
        <v>100</v>
      </c>
      <c r="G508" s="224" t="s">
        <v>4636</v>
      </c>
      <c r="H508" s="28" t="s">
        <v>620</v>
      </c>
      <c r="I508" s="6" t="s">
        <v>620</v>
      </c>
      <c r="J508" s="28" t="s">
        <v>620</v>
      </c>
      <c r="K508" s="224"/>
      <c r="L508" s="224"/>
      <c r="M508" s="224" t="s">
        <v>5205</v>
      </c>
      <c r="N508" s="6" t="s">
        <v>5206</v>
      </c>
      <c r="O508" s="6" t="s">
        <v>620</v>
      </c>
      <c r="P508" s="224" t="s">
        <v>3941</v>
      </c>
      <c r="Q508" s="177" t="s">
        <v>620</v>
      </c>
      <c r="R508" s="28" t="s">
        <v>620</v>
      </c>
      <c r="S508" s="42" t="str">
        <f aca="false">IF(ISNUMBER($AF508),INDEX(IDX_SrcStat,$AF508),"—")</f>
        <v>—</v>
      </c>
      <c r="T508" s="42" t="str">
        <f aca="false">IF(ISNUMBER($AF508),INDEX(IDX_SrcGrade,$AF508),"—")</f>
        <v>—</v>
      </c>
      <c r="U508" s="28" t="s">
        <v>620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2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2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5207</v>
      </c>
      <c r="B509" s="224" t="s">
        <v>4951</v>
      </c>
      <c r="C509" s="28" t="s">
        <v>5095</v>
      </c>
      <c r="D509" s="28" t="s">
        <v>5208</v>
      </c>
      <c r="E509" s="19" t="s">
        <v>1923</v>
      </c>
      <c r="F509" s="224" t="s">
        <v>4747</v>
      </c>
      <c r="G509" s="224" t="s">
        <v>4636</v>
      </c>
      <c r="H509" s="28" t="s">
        <v>620</v>
      </c>
      <c r="I509" s="6" t="s">
        <v>620</v>
      </c>
      <c r="J509" s="28" t="s">
        <v>620</v>
      </c>
      <c r="K509" s="224"/>
      <c r="L509" s="224"/>
      <c r="M509" s="224" t="s">
        <v>3778</v>
      </c>
      <c r="N509" s="6" t="s">
        <v>5209</v>
      </c>
      <c r="O509" s="6" t="s">
        <v>620</v>
      </c>
      <c r="P509" s="224" t="s">
        <v>3885</v>
      </c>
      <c r="Q509" s="177" t="s">
        <v>620</v>
      </c>
      <c r="R509" s="28" t="s">
        <v>620</v>
      </c>
      <c r="S509" s="42" t="str">
        <f aca="false">IF(ISNUMBER($AF509),INDEX(IDX_SrcStat,$AF509),"—")</f>
        <v>—</v>
      </c>
      <c r="T509" s="42" t="str">
        <f aca="false">IF(ISNUMBER($AF509),INDEX(IDX_SrcGrade,$AF509),"—")</f>
        <v>—</v>
      </c>
      <c r="U509" s="28" t="s">
        <v>620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2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2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5210</v>
      </c>
      <c r="B510" s="224" t="s">
        <v>4951</v>
      </c>
      <c r="C510" s="28" t="s">
        <v>24</v>
      </c>
      <c r="D510" s="28" t="s">
        <v>5211</v>
      </c>
      <c r="E510" s="6" t="s">
        <v>618</v>
      </c>
      <c r="F510" s="28" t="s">
        <v>100</v>
      </c>
      <c r="G510" s="224" t="s">
        <v>4636</v>
      </c>
      <c r="H510" s="28" t="s">
        <v>620</v>
      </c>
      <c r="I510" s="6" t="s">
        <v>620</v>
      </c>
      <c r="J510" s="28" t="s">
        <v>620</v>
      </c>
      <c r="K510" s="224"/>
      <c r="L510" s="224"/>
      <c r="M510" s="224" t="s">
        <v>3778</v>
      </c>
      <c r="N510" s="6" t="s">
        <v>5212</v>
      </c>
      <c r="O510" s="6" t="s">
        <v>620</v>
      </c>
      <c r="P510" s="224" t="s">
        <v>3885</v>
      </c>
      <c r="Q510" s="177" t="s">
        <v>620</v>
      </c>
      <c r="R510" s="28" t="s">
        <v>620</v>
      </c>
      <c r="S510" s="42" t="str">
        <f aca="false">IF(ISNUMBER($AF510),INDEX(IDX_SrcStat,$AF510),"—")</f>
        <v>—</v>
      </c>
      <c r="T510" s="42" t="str">
        <f aca="false">IF(ISNUMBER($AF510),INDEX(IDX_SrcGrade,$AF510),"—")</f>
        <v>—</v>
      </c>
      <c r="U510" s="28" t="s">
        <v>620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2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2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5213</v>
      </c>
      <c r="B511" s="224" t="s">
        <v>4951</v>
      </c>
      <c r="C511" s="28" t="s">
        <v>24</v>
      </c>
      <c r="D511" s="28" t="s">
        <v>5214</v>
      </c>
      <c r="E511" s="6" t="s">
        <v>640</v>
      </c>
      <c r="F511" s="28" t="s">
        <v>100</v>
      </c>
      <c r="G511" s="224" t="s">
        <v>4636</v>
      </c>
      <c r="H511" s="28" t="s">
        <v>620</v>
      </c>
      <c r="I511" s="6" t="s">
        <v>620</v>
      </c>
      <c r="J511" s="28" t="s">
        <v>620</v>
      </c>
      <c r="K511" s="224"/>
      <c r="L511" s="224"/>
      <c r="M511" s="28" t="s">
        <v>5215</v>
      </c>
      <c r="N511" s="6" t="s">
        <v>5216</v>
      </c>
      <c r="O511" s="6" t="s">
        <v>620</v>
      </c>
      <c r="P511" s="224" t="s">
        <v>3885</v>
      </c>
      <c r="Q511" s="177" t="s">
        <v>620</v>
      </c>
      <c r="R511" s="28" t="s">
        <v>620</v>
      </c>
      <c r="S511" s="42" t="str">
        <f aca="false">IF(ISNUMBER($AF511),INDEX(IDX_SrcStat,$AF511),"—")</f>
        <v>—</v>
      </c>
      <c r="T511" s="42" t="str">
        <f aca="false">IF(ISNUMBER($AF511),INDEX(IDX_SrcGrade,$AF511),"—")</f>
        <v>—</v>
      </c>
      <c r="U511" s="28" t="s">
        <v>620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2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2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5217</v>
      </c>
      <c r="B512" s="224" t="s">
        <v>4951</v>
      </c>
      <c r="C512" s="28" t="s">
        <v>24</v>
      </c>
      <c r="D512" s="28" t="s">
        <v>5218</v>
      </c>
      <c r="E512" s="6" t="s">
        <v>647</v>
      </c>
      <c r="F512" s="28" t="s">
        <v>104</v>
      </c>
      <c r="G512" s="224" t="s">
        <v>4636</v>
      </c>
      <c r="H512" s="28" t="s">
        <v>4356</v>
      </c>
      <c r="I512" s="19" t="s">
        <v>5219</v>
      </c>
      <c r="J512" s="28" t="s">
        <v>620</v>
      </c>
      <c r="K512" s="224"/>
      <c r="L512" s="224"/>
      <c r="M512" s="28" t="s">
        <v>5215</v>
      </c>
      <c r="N512" s="6" t="s">
        <v>5220</v>
      </c>
      <c r="O512" s="6" t="s">
        <v>5221</v>
      </c>
      <c r="P512" s="224" t="s">
        <v>3885</v>
      </c>
      <c r="Q512" s="177" t="s">
        <v>620</v>
      </c>
      <c r="R512" s="177" t="n">
        <f aca="false">SRC_HW_037</f>
        <v>2520</v>
      </c>
      <c r="S512" s="42" t="str">
        <f aca="false">IF(ISNUMBER($AF512),INDEX(IDX_SrcStat,$AF512),"—")</f>
        <v>Active</v>
      </c>
      <c r="T512" s="42" t="n">
        <f aca="false">IF(ISNUMBER($AF512),INDEX(IDX_SrcGrade,$AF512),"—")</f>
        <v>2</v>
      </c>
      <c r="U512" s="28" t="s">
        <v>620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2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2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5222</v>
      </c>
      <c r="B513" s="224" t="s">
        <v>4951</v>
      </c>
      <c r="C513" s="28" t="s">
        <v>24</v>
      </c>
      <c r="D513" s="28" t="s">
        <v>5223</v>
      </c>
      <c r="E513" s="6" t="s">
        <v>654</v>
      </c>
      <c r="F513" s="28" t="s">
        <v>100</v>
      </c>
      <c r="G513" s="224" t="s">
        <v>4636</v>
      </c>
      <c r="H513" s="28" t="s">
        <v>620</v>
      </c>
      <c r="I513" s="6" t="s">
        <v>620</v>
      </c>
      <c r="J513" s="28" t="s">
        <v>620</v>
      </c>
      <c r="K513" s="224"/>
      <c r="L513" s="224"/>
      <c r="M513" s="28" t="s">
        <v>5215</v>
      </c>
      <c r="N513" s="6" t="s">
        <v>5224</v>
      </c>
      <c r="O513" s="6" t="s">
        <v>620</v>
      </c>
      <c r="P513" s="224" t="s">
        <v>3885</v>
      </c>
      <c r="Q513" s="177" t="s">
        <v>620</v>
      </c>
      <c r="R513" s="28" t="s">
        <v>620</v>
      </c>
      <c r="S513" s="42" t="str">
        <f aca="false">IF(ISNUMBER($AF513),INDEX(IDX_SrcStat,$AF513),"—")</f>
        <v>—</v>
      </c>
      <c r="T513" s="42" t="str">
        <f aca="false">IF(ISNUMBER($AF513),INDEX(IDX_SrcGrade,$AF513),"—")</f>
        <v>—</v>
      </c>
      <c r="U513" s="28" t="s">
        <v>620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2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2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5225</v>
      </c>
      <c r="B514" s="224" t="s">
        <v>4951</v>
      </c>
      <c r="C514" s="28" t="s">
        <v>24</v>
      </c>
      <c r="D514" s="28" t="s">
        <v>5226</v>
      </c>
      <c r="E514" s="6" t="s">
        <v>661</v>
      </c>
      <c r="F514" s="28" t="s">
        <v>100</v>
      </c>
      <c r="G514" s="224" t="s">
        <v>4636</v>
      </c>
      <c r="H514" s="28" t="s">
        <v>620</v>
      </c>
      <c r="I514" s="6" t="s">
        <v>620</v>
      </c>
      <c r="J514" s="28" t="s">
        <v>620</v>
      </c>
      <c r="K514" s="224"/>
      <c r="L514" s="224"/>
      <c r="M514" s="28" t="s">
        <v>5215</v>
      </c>
      <c r="N514" s="6" t="s">
        <v>5227</v>
      </c>
      <c r="O514" s="6" t="s">
        <v>620</v>
      </c>
      <c r="P514" s="224" t="s">
        <v>3885</v>
      </c>
      <c r="Q514" s="177" t="s">
        <v>620</v>
      </c>
      <c r="R514" s="28" t="s">
        <v>620</v>
      </c>
      <c r="S514" s="42" t="str">
        <f aca="false">IF(ISNUMBER($AF514),INDEX(IDX_SrcStat,$AF514),"—")</f>
        <v>—</v>
      </c>
      <c r="T514" s="42" t="str">
        <f aca="false">IF(ISNUMBER($AF514),INDEX(IDX_SrcGrade,$AF514),"—")</f>
        <v>—</v>
      </c>
      <c r="U514" s="28" t="s">
        <v>620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2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2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5228</v>
      </c>
      <c r="B515" s="224" t="s">
        <v>4951</v>
      </c>
      <c r="C515" s="28" t="s">
        <v>24</v>
      </c>
      <c r="D515" s="28" t="s">
        <v>5229</v>
      </c>
      <c r="E515" s="6" t="s">
        <v>667</v>
      </c>
      <c r="F515" s="28" t="s">
        <v>104</v>
      </c>
      <c r="G515" s="224" t="s">
        <v>4636</v>
      </c>
      <c r="H515" s="28" t="s">
        <v>5230</v>
      </c>
      <c r="I515" s="19" t="s">
        <v>5231</v>
      </c>
      <c r="J515" s="28" t="s">
        <v>620</v>
      </c>
      <c r="K515" s="224"/>
      <c r="L515" s="224"/>
      <c r="M515" s="28" t="s">
        <v>5215</v>
      </c>
      <c r="N515" s="6" t="s">
        <v>5232</v>
      </c>
      <c r="O515" s="6" t="s">
        <v>5233</v>
      </c>
      <c r="P515" s="224" t="s">
        <v>3885</v>
      </c>
      <c r="Q515" s="177" t="s">
        <v>620</v>
      </c>
      <c r="R515" s="177" t="n">
        <f aca="false">SRC_MOD_046</f>
        <v>1.5</v>
      </c>
      <c r="S515" s="42" t="str">
        <f aca="false">IF(ISNUMBER($AF515),INDEX(IDX_SrcStat,$AF515),"—")</f>
        <v>Active</v>
      </c>
      <c r="T515" s="42" t="n">
        <f aca="false">IF(ISNUMBER($AF515),INDEX(IDX_SrcGrade,$AF515),"—")</f>
        <v>2</v>
      </c>
      <c r="U515" s="28" t="s">
        <v>620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2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2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5234</v>
      </c>
      <c r="B516" s="224" t="s">
        <v>4951</v>
      </c>
      <c r="C516" s="28" t="s">
        <v>24</v>
      </c>
      <c r="D516" s="28" t="s">
        <v>5235</v>
      </c>
      <c r="E516" s="6" t="s">
        <v>673</v>
      </c>
      <c r="F516" s="28" t="s">
        <v>100</v>
      </c>
      <c r="G516" s="224" t="s">
        <v>4636</v>
      </c>
      <c r="H516" s="28" t="s">
        <v>620</v>
      </c>
      <c r="I516" s="6" t="s">
        <v>620</v>
      </c>
      <c r="J516" s="28" t="s">
        <v>620</v>
      </c>
      <c r="K516" s="224"/>
      <c r="L516" s="224"/>
      <c r="M516" s="28" t="s">
        <v>5215</v>
      </c>
      <c r="N516" s="6" t="s">
        <v>5236</v>
      </c>
      <c r="O516" s="6" t="s">
        <v>620</v>
      </c>
      <c r="P516" s="224" t="s">
        <v>3885</v>
      </c>
      <c r="Q516" s="177" t="s">
        <v>620</v>
      </c>
      <c r="R516" s="28" t="s">
        <v>620</v>
      </c>
      <c r="S516" s="42" t="str">
        <f aca="false">IF(ISNUMBER($AF516),INDEX(IDX_SrcStat,$AF516),"—")</f>
        <v>—</v>
      </c>
      <c r="T516" s="42" t="str">
        <f aca="false">IF(ISNUMBER($AF516),INDEX(IDX_SrcGrade,$AF516),"—")</f>
        <v>—</v>
      </c>
      <c r="U516" s="28" t="s">
        <v>620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2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2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5237</v>
      </c>
      <c r="B517" s="224" t="s">
        <v>4951</v>
      </c>
      <c r="C517" s="28" t="s">
        <v>24</v>
      </c>
      <c r="D517" s="28" t="s">
        <v>5238</v>
      </c>
      <c r="E517" s="6" t="s">
        <v>678</v>
      </c>
      <c r="F517" s="28" t="s">
        <v>100</v>
      </c>
      <c r="G517" s="224" t="s">
        <v>4636</v>
      </c>
      <c r="H517" s="28" t="s">
        <v>620</v>
      </c>
      <c r="I517" s="6" t="s">
        <v>620</v>
      </c>
      <c r="J517" s="28" t="s">
        <v>620</v>
      </c>
      <c r="K517" s="224"/>
      <c r="L517" s="224"/>
      <c r="M517" s="224" t="s">
        <v>3778</v>
      </c>
      <c r="N517" s="6" t="s">
        <v>5239</v>
      </c>
      <c r="O517" s="6" t="s">
        <v>620</v>
      </c>
      <c r="P517" s="224" t="s">
        <v>3885</v>
      </c>
      <c r="Q517" s="177" t="s">
        <v>620</v>
      </c>
      <c r="R517" s="28" t="s">
        <v>620</v>
      </c>
      <c r="S517" s="42" t="str">
        <f aca="false">IF(ISNUMBER($AF517),INDEX(IDX_SrcStat,$AF517),"—")</f>
        <v>—</v>
      </c>
      <c r="T517" s="42" t="str">
        <f aca="false">IF(ISNUMBER($AF517),INDEX(IDX_SrcGrade,$AF517),"—")</f>
        <v>—</v>
      </c>
      <c r="U517" s="28" t="s">
        <v>620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2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2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5240</v>
      </c>
      <c r="B518" s="224" t="s">
        <v>4951</v>
      </c>
      <c r="C518" s="28" t="s">
        <v>24</v>
      </c>
      <c r="D518" s="28" t="s">
        <v>5241</v>
      </c>
      <c r="E518" s="6" t="s">
        <v>618</v>
      </c>
      <c r="F518" s="224" t="s">
        <v>4635</v>
      </c>
      <c r="G518" s="224" t="s">
        <v>4636</v>
      </c>
      <c r="H518" s="28" t="s">
        <v>620</v>
      </c>
      <c r="I518" s="6" t="s">
        <v>620</v>
      </c>
      <c r="J518" s="28" t="s">
        <v>620</v>
      </c>
      <c r="K518" s="224"/>
      <c r="L518" s="224"/>
      <c r="M518" s="28" t="s">
        <v>620</v>
      </c>
      <c r="N518" s="19" t="s">
        <v>5242</v>
      </c>
      <c r="O518" s="6" t="s">
        <v>620</v>
      </c>
      <c r="P518" s="224" t="s">
        <v>3885</v>
      </c>
      <c r="Q518" s="177" t="s">
        <v>620</v>
      </c>
      <c r="R518" s="28" t="s">
        <v>620</v>
      </c>
      <c r="S518" s="42" t="str">
        <f aca="false">IF(ISNUMBER($AF518),INDEX(IDX_SrcStat,$AF518),"—")</f>
        <v>—</v>
      </c>
      <c r="T518" s="42" t="str">
        <f aca="false">IF(ISNUMBER($AF518),INDEX(IDX_SrcGrade,$AF518),"—")</f>
        <v>—</v>
      </c>
      <c r="U518" s="28" t="s">
        <v>620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2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2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5243</v>
      </c>
      <c r="B519" s="224" t="s">
        <v>4951</v>
      </c>
      <c r="C519" s="28" t="s">
        <v>24</v>
      </c>
      <c r="D519" s="28" t="s">
        <v>5244</v>
      </c>
      <c r="E519" s="6" t="s">
        <v>618</v>
      </c>
      <c r="F519" s="224" t="s">
        <v>5063</v>
      </c>
      <c r="G519" s="224" t="s">
        <v>4636</v>
      </c>
      <c r="H519" s="28" t="s">
        <v>620</v>
      </c>
      <c r="I519" s="19" t="s">
        <v>5245</v>
      </c>
      <c r="J519" s="28" t="s">
        <v>5246</v>
      </c>
      <c r="K519" s="224"/>
      <c r="L519" s="224"/>
      <c r="M519" s="224" t="s">
        <v>3778</v>
      </c>
      <c r="N519" s="19" t="s">
        <v>5247</v>
      </c>
      <c r="O519" s="6" t="s">
        <v>620</v>
      </c>
      <c r="P519" s="224" t="s">
        <v>3885</v>
      </c>
      <c r="Q519" s="177" t="s">
        <v>620</v>
      </c>
      <c r="R519" s="28" t="s">
        <v>620</v>
      </c>
      <c r="S519" s="42" t="str">
        <f aca="false">IF(ISNUMBER($AF519),INDEX(IDX_SrcStat,$AF519),"—")</f>
        <v>—</v>
      </c>
      <c r="T519" s="42" t="str">
        <f aca="false">IF(ISNUMBER($AF519),INDEX(IDX_SrcGrade,$AF519),"—")</f>
        <v>—</v>
      </c>
      <c r="U519" s="28" t="s">
        <v>620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2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2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5248</v>
      </c>
      <c r="B520" s="224" t="s">
        <v>4951</v>
      </c>
      <c r="C520" s="28" t="s">
        <v>24</v>
      </c>
      <c r="D520" s="28" t="s">
        <v>5249</v>
      </c>
      <c r="E520" s="6" t="s">
        <v>673</v>
      </c>
      <c r="F520" s="224" t="s">
        <v>5063</v>
      </c>
      <c r="G520" s="224" t="s">
        <v>4636</v>
      </c>
      <c r="H520" s="28" t="s">
        <v>620</v>
      </c>
      <c r="I520" s="19" t="s">
        <v>5245</v>
      </c>
      <c r="J520" s="28" t="s">
        <v>5246</v>
      </c>
      <c r="K520" s="224"/>
      <c r="L520" s="224"/>
      <c r="M520" s="224" t="s">
        <v>3778</v>
      </c>
      <c r="N520" s="19" t="s">
        <v>5250</v>
      </c>
      <c r="O520" s="6" t="s">
        <v>620</v>
      </c>
      <c r="P520" s="224" t="s">
        <v>3885</v>
      </c>
      <c r="Q520" s="177" t="s">
        <v>620</v>
      </c>
      <c r="R520" s="28" t="s">
        <v>620</v>
      </c>
      <c r="S520" s="42" t="str">
        <f aca="false">IF(ISNUMBER($AF520),INDEX(IDX_SrcStat,$AF520),"—")</f>
        <v>—</v>
      </c>
      <c r="T520" s="42" t="str">
        <f aca="false">IF(ISNUMBER($AF520),INDEX(IDX_SrcGrade,$AF520),"—")</f>
        <v>—</v>
      </c>
      <c r="U520" s="28" t="s">
        <v>620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2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2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5251</v>
      </c>
      <c r="B521" s="224" t="s">
        <v>4951</v>
      </c>
      <c r="C521" s="28" t="s">
        <v>24</v>
      </c>
      <c r="D521" s="28" t="s">
        <v>5252</v>
      </c>
      <c r="E521" s="6" t="s">
        <v>618</v>
      </c>
      <c r="F521" s="28" t="s">
        <v>100</v>
      </c>
      <c r="G521" s="224" t="s">
        <v>4636</v>
      </c>
      <c r="H521" s="28" t="s">
        <v>620</v>
      </c>
      <c r="I521" s="6" t="s">
        <v>620</v>
      </c>
      <c r="J521" s="28" t="s">
        <v>620</v>
      </c>
      <c r="K521" s="224"/>
      <c r="L521" s="224"/>
      <c r="M521" s="28" t="s">
        <v>5253</v>
      </c>
      <c r="N521" s="19" t="s">
        <v>5254</v>
      </c>
      <c r="O521" s="6" t="s">
        <v>620</v>
      </c>
      <c r="P521" s="224" t="s">
        <v>3885</v>
      </c>
      <c r="Q521" s="177" t="s">
        <v>620</v>
      </c>
      <c r="R521" s="28" t="s">
        <v>620</v>
      </c>
      <c r="S521" s="42" t="str">
        <f aca="false">IF(ISNUMBER($AF521),INDEX(IDX_SrcStat,$AF521),"—")</f>
        <v>—</v>
      </c>
      <c r="T521" s="42" t="str">
        <f aca="false">IF(ISNUMBER($AF521),INDEX(IDX_SrcGrade,$AF521),"—")</f>
        <v>—</v>
      </c>
      <c r="U521" s="28" t="s">
        <v>620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2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2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5255</v>
      </c>
      <c r="B522" s="224" t="s">
        <v>4951</v>
      </c>
      <c r="C522" s="28" t="s">
        <v>24</v>
      </c>
      <c r="D522" s="28" t="s">
        <v>5256</v>
      </c>
      <c r="E522" s="6" t="s">
        <v>618</v>
      </c>
      <c r="F522" s="28" t="s">
        <v>92</v>
      </c>
      <c r="G522" s="224" t="s">
        <v>4636</v>
      </c>
      <c r="H522" s="28" t="s">
        <v>620</v>
      </c>
      <c r="I522" s="6" t="s">
        <v>620</v>
      </c>
      <c r="J522" s="28" t="s">
        <v>4924</v>
      </c>
      <c r="K522" s="224"/>
      <c r="L522" s="224"/>
      <c r="M522" s="224" t="s">
        <v>3778</v>
      </c>
      <c r="N522" s="19" t="s">
        <v>5257</v>
      </c>
      <c r="O522" s="6" t="s">
        <v>620</v>
      </c>
      <c r="P522" s="224" t="s">
        <v>3885</v>
      </c>
      <c r="Q522" s="177" t="s">
        <v>620</v>
      </c>
      <c r="R522" s="28" t="s">
        <v>620</v>
      </c>
      <c r="S522" s="42" t="str">
        <f aca="false">IF(ISNUMBER($AF522),INDEX(IDX_SrcStat,$AF522),"—")</f>
        <v>—</v>
      </c>
      <c r="T522" s="42" t="str">
        <f aca="false">IF(ISNUMBER($AF522),INDEX(IDX_SrcGrade,$AF522),"—")</f>
        <v>—</v>
      </c>
      <c r="U522" s="28" t="s">
        <v>620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2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2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5258</v>
      </c>
      <c r="B523" s="224" t="s">
        <v>4951</v>
      </c>
      <c r="C523" s="28" t="s">
        <v>4904</v>
      </c>
      <c r="D523" s="28" t="s">
        <v>4045</v>
      </c>
      <c r="E523" s="19" t="s">
        <v>5259</v>
      </c>
      <c r="F523" s="28" t="s">
        <v>104</v>
      </c>
      <c r="G523" s="224" t="s">
        <v>3882</v>
      </c>
      <c r="H523" s="28" t="s">
        <v>5260</v>
      </c>
      <c r="I523" s="19" t="s">
        <v>5261</v>
      </c>
      <c r="J523" s="28" t="s">
        <v>620</v>
      </c>
      <c r="K523" s="226" t="n">
        <v>0.18</v>
      </c>
      <c r="L523" s="226" t="n">
        <v>0.35</v>
      </c>
      <c r="M523" s="28" t="s">
        <v>5262</v>
      </c>
      <c r="N523" s="19" t="s">
        <v>5263</v>
      </c>
      <c r="O523" s="6" t="s">
        <v>620</v>
      </c>
      <c r="P523" s="224" t="s">
        <v>1151</v>
      </c>
      <c r="Q523" s="187" t="n">
        <f aca="false">Train_In!C6</f>
        <v>0.25</v>
      </c>
      <c r="R523" s="177" t="n">
        <f aca="false">SRC_PERF_036_Lo</f>
        <v>0.38</v>
      </c>
      <c r="S523" s="42" t="str">
        <f aca="false">IF(ISNUMBER($AF523),INDEX(IDX_SrcStat,$AF523),"—")</f>
        <v>Active</v>
      </c>
      <c r="T523" s="42" t="n">
        <f aca="false">IF(ISNUMBER($AF523),INDEX(IDX_SrcGrade,$AF523),"—")</f>
        <v>1</v>
      </c>
      <c r="U523" s="42" t="s">
        <v>3886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2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2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5264</v>
      </c>
      <c r="B524" s="224" t="s">
        <v>4951</v>
      </c>
      <c r="C524" s="28" t="s">
        <v>4904</v>
      </c>
      <c r="D524" s="28" t="s">
        <v>4372</v>
      </c>
      <c r="E524" s="6" t="s">
        <v>925</v>
      </c>
      <c r="F524" s="28" t="s">
        <v>104</v>
      </c>
      <c r="G524" s="224" t="s">
        <v>3882</v>
      </c>
      <c r="H524" s="28" t="s">
        <v>5265</v>
      </c>
      <c r="I524" s="19" t="s">
        <v>5266</v>
      </c>
      <c r="J524" s="28" t="s">
        <v>620</v>
      </c>
      <c r="K524" s="226" t="n">
        <v>0.8</v>
      </c>
      <c r="L524" s="226" t="n">
        <v>0.95</v>
      </c>
      <c r="M524" s="28" t="s">
        <v>5267</v>
      </c>
      <c r="N524" s="6" t="s">
        <v>5268</v>
      </c>
      <c r="O524" s="6" t="s">
        <v>620</v>
      </c>
      <c r="P524" s="224" t="s">
        <v>1151</v>
      </c>
      <c r="Q524" s="187" t="n">
        <f aca="false">Train_In!C7</f>
        <v>0.9</v>
      </c>
      <c r="R524" s="177" t="n">
        <f aca="false">SRC_PERF_037</f>
        <v>0.9</v>
      </c>
      <c r="S524" s="42" t="str">
        <f aca="false">IF(ISNUMBER($AF524),INDEX(IDX_SrcStat,$AF524),"—")</f>
        <v>Active</v>
      </c>
      <c r="T524" s="42" t="n">
        <f aca="false">IF(ISNUMBER($AF524),INDEX(IDX_SrcGrade,$AF524),"—")</f>
        <v>1</v>
      </c>
      <c r="U524" s="42" t="s">
        <v>3886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2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2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5269</v>
      </c>
      <c r="B525" s="224" t="s">
        <v>4951</v>
      </c>
      <c r="C525" s="28" t="s">
        <v>4904</v>
      </c>
      <c r="D525" s="28" t="s">
        <v>4058</v>
      </c>
      <c r="E525" s="6" t="s">
        <v>927</v>
      </c>
      <c r="F525" s="28" t="s">
        <v>100</v>
      </c>
      <c r="G525" s="224" t="s">
        <v>3882</v>
      </c>
      <c r="H525" s="28" t="s">
        <v>620</v>
      </c>
      <c r="I525" s="6" t="s">
        <v>620</v>
      </c>
      <c r="J525" s="28" t="s">
        <v>620</v>
      </c>
      <c r="K525" s="226" t="n">
        <v>0.6</v>
      </c>
      <c r="L525" s="226" t="n">
        <v>1</v>
      </c>
      <c r="M525" s="28" t="s">
        <v>5270</v>
      </c>
      <c r="N525" s="6" t="s">
        <v>5271</v>
      </c>
      <c r="O525" s="6" t="s">
        <v>620</v>
      </c>
      <c r="P525" s="224" t="s">
        <v>1150</v>
      </c>
      <c r="Q525" s="185" t="n">
        <f aca="false">Train_In!C8</f>
        <v>0.8</v>
      </c>
      <c r="R525" s="28" t="s">
        <v>620</v>
      </c>
      <c r="S525" s="42" t="str">
        <f aca="false">IF(ISNUMBER($AF525),INDEX(IDX_SrcStat,$AF525),"—")</f>
        <v>—</v>
      </c>
      <c r="T525" s="42" t="str">
        <f aca="false">IF(ISNUMBER($AF525),INDEX(IDX_SrcGrade,$AF525),"—")</f>
        <v>—</v>
      </c>
      <c r="U525" s="42" t="s">
        <v>3886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2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2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5272</v>
      </c>
      <c r="B526" s="224" t="s">
        <v>4951</v>
      </c>
      <c r="C526" s="28" t="s">
        <v>4904</v>
      </c>
      <c r="D526" s="28" t="s">
        <v>4072</v>
      </c>
      <c r="E526" s="6" t="s">
        <v>929</v>
      </c>
      <c r="F526" s="28" t="s">
        <v>100</v>
      </c>
      <c r="G526" s="224" t="s">
        <v>3882</v>
      </c>
      <c r="H526" s="28" t="s">
        <v>620</v>
      </c>
      <c r="I526" s="6" t="s">
        <v>620</v>
      </c>
      <c r="J526" s="28" t="s">
        <v>620</v>
      </c>
      <c r="K526" s="226" t="n">
        <v>0.4</v>
      </c>
      <c r="L526" s="226" t="n">
        <v>0.9</v>
      </c>
      <c r="M526" s="28" t="s">
        <v>5273</v>
      </c>
      <c r="N526" s="6" t="s">
        <v>5274</v>
      </c>
      <c r="O526" s="6" t="s">
        <v>620</v>
      </c>
      <c r="P526" s="224" t="s">
        <v>3941</v>
      </c>
      <c r="Q526" s="185" t="n">
        <f aca="false">Train_In!C9</f>
        <v>0.6</v>
      </c>
      <c r="R526" s="28" t="s">
        <v>620</v>
      </c>
      <c r="S526" s="42" t="str">
        <f aca="false">IF(ISNUMBER($AF526),INDEX(IDX_SrcStat,$AF526),"—")</f>
        <v>—</v>
      </c>
      <c r="T526" s="42" t="str">
        <f aca="false">IF(ISNUMBER($AF526),INDEX(IDX_SrcGrade,$AF526),"—")</f>
        <v>—</v>
      </c>
      <c r="U526" s="42" t="s">
        <v>3886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2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2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5275</v>
      </c>
      <c r="B527" s="224" t="s">
        <v>4951</v>
      </c>
      <c r="C527" s="28" t="s">
        <v>4904</v>
      </c>
      <c r="D527" s="28" t="s">
        <v>4092</v>
      </c>
      <c r="E527" s="19" t="s">
        <v>5276</v>
      </c>
      <c r="F527" s="28" t="s">
        <v>100</v>
      </c>
      <c r="G527" s="224" t="s">
        <v>3882</v>
      </c>
      <c r="H527" s="28" t="s">
        <v>620</v>
      </c>
      <c r="I527" s="6" t="s">
        <v>620</v>
      </c>
      <c r="J527" s="28" t="s">
        <v>620</v>
      </c>
      <c r="K527" s="226" t="n">
        <v>0</v>
      </c>
      <c r="L527" s="226" t="n">
        <v>1</v>
      </c>
      <c r="M527" s="28" t="s">
        <v>5277</v>
      </c>
      <c r="N527" s="6" t="s">
        <v>5278</v>
      </c>
      <c r="O527" s="6" t="s">
        <v>620</v>
      </c>
      <c r="P527" s="224" t="s">
        <v>3885</v>
      </c>
      <c r="Q527" s="31" t="n">
        <f aca="false">Train_In!C10</f>
        <v>0</v>
      </c>
      <c r="R527" s="28" t="s">
        <v>620</v>
      </c>
      <c r="S527" s="42" t="str">
        <f aca="false">IF(ISNUMBER($AF527),INDEX(IDX_SrcStat,$AF527),"—")</f>
        <v>—</v>
      </c>
      <c r="T527" s="42" t="str">
        <f aca="false">IF(ISNUMBER($AF527),INDEX(IDX_SrcGrade,$AF527),"—")</f>
        <v>—</v>
      </c>
      <c r="U527" s="42" t="s">
        <v>3886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2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2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5279</v>
      </c>
      <c r="B528" s="224" t="s">
        <v>4951</v>
      </c>
      <c r="C528" s="28" t="s">
        <v>4904</v>
      </c>
      <c r="D528" s="28" t="s">
        <v>4103</v>
      </c>
      <c r="E528" s="6" t="s">
        <v>933</v>
      </c>
      <c r="F528" s="28" t="s">
        <v>104</v>
      </c>
      <c r="G528" s="224" t="s">
        <v>3882</v>
      </c>
      <c r="H528" s="28" t="s">
        <v>5230</v>
      </c>
      <c r="I528" s="19" t="s">
        <v>5280</v>
      </c>
      <c r="J528" s="28" t="s">
        <v>620</v>
      </c>
      <c r="K528" s="187" t="n">
        <f aca="false">Sens_Train!S64</f>
        <v>0.6</v>
      </c>
      <c r="L528" s="187" t="n">
        <f aca="false">Sens_Train!U64</f>
        <v>0.95</v>
      </c>
      <c r="M528" s="28" t="s">
        <v>620</v>
      </c>
      <c r="N528" s="6" t="s">
        <v>5281</v>
      </c>
      <c r="O528" s="6" t="s">
        <v>620</v>
      </c>
      <c r="P528" s="224" t="s">
        <v>3941</v>
      </c>
      <c r="Q528" s="187" t="n">
        <f aca="false">Train_In!C11</f>
        <v>0.85</v>
      </c>
      <c r="R528" s="177" t="n">
        <f aca="false">SRC_MOD_046</f>
        <v>1.5</v>
      </c>
      <c r="S528" s="42" t="str">
        <f aca="false">IF(ISNUMBER($AF528),INDEX(IDX_SrcStat,$AF528),"—")</f>
        <v>Active</v>
      </c>
      <c r="T528" s="42" t="n">
        <f aca="false">IF(ISNUMBER($AF528),INDEX(IDX_SrcGrade,$AF528),"—")</f>
        <v>2</v>
      </c>
      <c r="U528" s="42" t="s">
        <v>3886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2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2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5282</v>
      </c>
      <c r="B529" s="224" t="s">
        <v>4951</v>
      </c>
      <c r="C529" s="28" t="s">
        <v>4904</v>
      </c>
      <c r="D529" s="28" t="s">
        <v>4124</v>
      </c>
      <c r="E529" s="6" t="s">
        <v>935</v>
      </c>
      <c r="F529" s="28" t="s">
        <v>100</v>
      </c>
      <c r="G529" s="224" t="s">
        <v>3882</v>
      </c>
      <c r="H529" s="28" t="s">
        <v>620</v>
      </c>
      <c r="I529" s="6" t="s">
        <v>620</v>
      </c>
      <c r="J529" s="28" t="s">
        <v>620</v>
      </c>
      <c r="K529" s="226" t="n">
        <v>8</v>
      </c>
      <c r="L529" s="226" t="n">
        <v>64</v>
      </c>
      <c r="M529" s="28" t="s">
        <v>5283</v>
      </c>
      <c r="N529" s="6" t="s">
        <v>5284</v>
      </c>
      <c r="O529" s="6" t="s">
        <v>5029</v>
      </c>
      <c r="P529" s="224" t="s">
        <v>1150</v>
      </c>
      <c r="Q529" s="31" t="n">
        <f aca="false">Train_In!C12</f>
        <v>16</v>
      </c>
      <c r="R529" s="28" t="s">
        <v>620</v>
      </c>
      <c r="S529" s="42" t="str">
        <f aca="false">IF(ISNUMBER($AF529),INDEX(IDX_SrcStat,$AF529),"—")</f>
        <v>—</v>
      </c>
      <c r="T529" s="42" t="str">
        <f aca="false">IF(ISNUMBER($AF529),INDEX(IDX_SrcGrade,$AF529),"—")</f>
        <v>—</v>
      </c>
      <c r="U529" s="42" t="s">
        <v>3886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2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2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5285</v>
      </c>
      <c r="B530" s="224" t="s">
        <v>4951</v>
      </c>
      <c r="C530" s="28" t="s">
        <v>4904</v>
      </c>
      <c r="D530" s="28" t="s">
        <v>4144</v>
      </c>
      <c r="E530" s="19" t="s">
        <v>5286</v>
      </c>
      <c r="F530" s="28" t="s">
        <v>104</v>
      </c>
      <c r="G530" s="224" t="s">
        <v>3882</v>
      </c>
      <c r="H530" s="28" t="s">
        <v>2921</v>
      </c>
      <c r="I530" s="19" t="s">
        <v>5287</v>
      </c>
      <c r="J530" s="28" t="s">
        <v>5288</v>
      </c>
      <c r="K530" s="192" t="n">
        <f aca="false">Sens_Train!AC119</f>
        <v>4.4</v>
      </c>
      <c r="L530" s="192" t="n">
        <f aca="false">Sens_Train!AE119</f>
        <v>10.4</v>
      </c>
      <c r="M530" s="28" t="s">
        <v>620</v>
      </c>
      <c r="N530" s="6" t="s">
        <v>5289</v>
      </c>
      <c r="O530" s="6" t="s">
        <v>620</v>
      </c>
      <c r="P530" s="224" t="s">
        <v>1151</v>
      </c>
      <c r="Q530" s="192" t="n">
        <f aca="false">Train_In!C13</f>
        <v>8</v>
      </c>
      <c r="R530" s="177" t="n">
        <f aca="false">SRC_DEM_001</f>
        <v>0.096</v>
      </c>
      <c r="S530" s="42" t="str">
        <f aca="false">IF(ISNUMBER($AF530),INDEX(IDX_SrcStat,$AF530),"—")</f>
        <v>Active</v>
      </c>
      <c r="T530" s="42" t="n">
        <f aca="false">IF(ISNUMBER($AF530),INDEX(IDX_SrcGrade,$AF530),"—")</f>
        <v>1</v>
      </c>
      <c r="U530" s="42" t="s">
        <v>3886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2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2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5290</v>
      </c>
      <c r="B531" s="224" t="s">
        <v>4951</v>
      </c>
      <c r="C531" s="28" t="s">
        <v>4904</v>
      </c>
      <c r="D531" s="28" t="s">
        <v>4397</v>
      </c>
      <c r="E531" s="19" t="s">
        <v>5291</v>
      </c>
      <c r="F531" s="28" t="s">
        <v>100</v>
      </c>
      <c r="G531" s="224" t="s">
        <v>3882</v>
      </c>
      <c r="H531" s="28" t="s">
        <v>620</v>
      </c>
      <c r="I531" s="6" t="s">
        <v>620</v>
      </c>
      <c r="J531" s="28" t="s">
        <v>620</v>
      </c>
      <c r="K531" s="226" t="n">
        <v>2</v>
      </c>
      <c r="L531" s="226" t="n">
        <v>3</v>
      </c>
      <c r="M531" s="28" t="s">
        <v>5292</v>
      </c>
      <c r="N531" s="19" t="s">
        <v>5293</v>
      </c>
      <c r="O531" s="6" t="s">
        <v>620</v>
      </c>
      <c r="P531" s="224" t="s">
        <v>3885</v>
      </c>
      <c r="Q531" s="31" t="n">
        <f aca="false">Train_In!C15</f>
        <v>3</v>
      </c>
      <c r="R531" s="28" t="s">
        <v>620</v>
      </c>
      <c r="S531" s="42" t="str">
        <f aca="false">IF(ISNUMBER($AF531),INDEX(IDX_SrcStat,$AF531),"—")</f>
        <v>—</v>
      </c>
      <c r="T531" s="42" t="str">
        <f aca="false">IF(ISNUMBER($AF531),INDEX(IDX_SrcGrade,$AF531),"—")</f>
        <v>—</v>
      </c>
      <c r="U531" s="42" t="s">
        <v>3886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2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2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5294</v>
      </c>
      <c r="B532" s="224" t="s">
        <v>4951</v>
      </c>
      <c r="C532" s="28" t="s">
        <v>4904</v>
      </c>
      <c r="D532" s="28" t="s">
        <v>4402</v>
      </c>
      <c r="E532" s="19" t="s">
        <v>944</v>
      </c>
      <c r="F532" s="28" t="s">
        <v>92</v>
      </c>
      <c r="G532" s="224" t="s">
        <v>3882</v>
      </c>
      <c r="H532" s="28" t="s">
        <v>620</v>
      </c>
      <c r="I532" s="6" t="s">
        <v>620</v>
      </c>
      <c r="J532" s="28" t="s">
        <v>5295</v>
      </c>
      <c r="K532" s="224"/>
      <c r="L532" s="224"/>
      <c r="M532" s="224" t="s">
        <v>3778</v>
      </c>
      <c r="N532" s="6" t="s">
        <v>5296</v>
      </c>
      <c r="O532" s="6" t="s">
        <v>620</v>
      </c>
      <c r="P532" s="224" t="s">
        <v>3885</v>
      </c>
      <c r="Q532" s="31" t="n">
        <f aca="false">Train_In!C16</f>
        <v>4</v>
      </c>
      <c r="R532" s="28" t="s">
        <v>620</v>
      </c>
      <c r="S532" s="42" t="str">
        <f aca="false">IF(ISNUMBER($AF532),INDEX(IDX_SrcStat,$AF532),"—")</f>
        <v>—</v>
      </c>
      <c r="T532" s="42" t="str">
        <f aca="false">IF(ISNUMBER($AF532),INDEX(IDX_SrcGrade,$AF532),"—")</f>
        <v>—</v>
      </c>
      <c r="U532" s="42" t="s">
        <v>3886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2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2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5297</v>
      </c>
      <c r="B533" s="224" t="s">
        <v>4951</v>
      </c>
      <c r="C533" s="28" t="s">
        <v>4904</v>
      </c>
      <c r="D533" s="28" t="s">
        <v>4424</v>
      </c>
      <c r="E533" s="19" t="s">
        <v>947</v>
      </c>
      <c r="F533" s="28" t="s">
        <v>92</v>
      </c>
      <c r="G533" s="224" t="s">
        <v>3882</v>
      </c>
      <c r="H533" s="28" t="s">
        <v>620</v>
      </c>
      <c r="I533" s="6" t="s">
        <v>620</v>
      </c>
      <c r="J533" s="28" t="s">
        <v>5295</v>
      </c>
      <c r="K533" s="224"/>
      <c r="L533" s="224"/>
      <c r="M533" s="224" t="s">
        <v>3778</v>
      </c>
      <c r="N533" s="6" t="s">
        <v>5298</v>
      </c>
      <c r="O533" s="6" t="s">
        <v>620</v>
      </c>
      <c r="P533" s="224" t="s">
        <v>3885</v>
      </c>
      <c r="Q533" s="31" t="n">
        <f aca="false">Train_In!C17</f>
        <v>3</v>
      </c>
      <c r="R533" s="28" t="s">
        <v>620</v>
      </c>
      <c r="S533" s="42" t="str">
        <f aca="false">IF(ISNUMBER($AF533),INDEX(IDX_SrcStat,$AF533),"—")</f>
        <v>—</v>
      </c>
      <c r="T533" s="42" t="str">
        <f aca="false">IF(ISNUMBER($AF533),INDEX(IDX_SrcGrade,$AF533),"—")</f>
        <v>—</v>
      </c>
      <c r="U533" s="42" t="s">
        <v>3886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2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2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5299</v>
      </c>
      <c r="B534" s="224" t="s">
        <v>4951</v>
      </c>
      <c r="C534" s="28" t="s">
        <v>4904</v>
      </c>
      <c r="D534" s="28" t="s">
        <v>5300</v>
      </c>
      <c r="E534" s="19" t="s">
        <v>5301</v>
      </c>
      <c r="F534" s="28" t="s">
        <v>100</v>
      </c>
      <c r="G534" s="224" t="s">
        <v>4636</v>
      </c>
      <c r="H534" s="28" t="s">
        <v>620</v>
      </c>
      <c r="I534" s="6" t="s">
        <v>620</v>
      </c>
      <c r="J534" s="28" t="s">
        <v>620</v>
      </c>
      <c r="K534" s="224"/>
      <c r="L534" s="224"/>
      <c r="M534" s="224" t="s">
        <v>5302</v>
      </c>
      <c r="N534" s="19" t="s">
        <v>5303</v>
      </c>
      <c r="O534" s="6" t="s">
        <v>620</v>
      </c>
      <c r="P534" s="224" t="s">
        <v>1151</v>
      </c>
      <c r="Q534" s="177" t="s">
        <v>620</v>
      </c>
      <c r="R534" s="28" t="s">
        <v>620</v>
      </c>
      <c r="S534" s="42" t="str">
        <f aca="false">IF(ISNUMBER($AF534),INDEX(IDX_SrcStat,$AF534),"—")</f>
        <v>—</v>
      </c>
      <c r="T534" s="42" t="str">
        <f aca="false">IF(ISNUMBER($AF534),INDEX(IDX_SrcGrade,$AF534),"—")</f>
        <v>—</v>
      </c>
      <c r="U534" s="28" t="s">
        <v>620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2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2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5304</v>
      </c>
      <c r="B535" s="224" t="s">
        <v>4951</v>
      </c>
      <c r="C535" s="28" t="s">
        <v>4904</v>
      </c>
      <c r="D535" s="28" t="s">
        <v>4032</v>
      </c>
      <c r="E535" s="19" t="s">
        <v>4905</v>
      </c>
      <c r="F535" s="28" t="s">
        <v>100</v>
      </c>
      <c r="G535" s="224" t="s">
        <v>3882</v>
      </c>
      <c r="H535" s="28" t="s">
        <v>620</v>
      </c>
      <c r="I535" s="6" t="s">
        <v>620</v>
      </c>
      <c r="J535" s="28" t="s">
        <v>5305</v>
      </c>
      <c r="K535" s="226" t="n">
        <v>30</v>
      </c>
      <c r="L535" s="226" t="n">
        <v>100</v>
      </c>
      <c r="M535" s="28" t="s">
        <v>5306</v>
      </c>
      <c r="N535" s="6" t="s">
        <v>5307</v>
      </c>
      <c r="O535" s="6" t="s">
        <v>620</v>
      </c>
      <c r="P535" s="224" t="s">
        <v>1151</v>
      </c>
      <c r="Q535" s="188" t="n">
        <f aca="false">Train_In!E25</f>
        <v>60</v>
      </c>
      <c r="R535" s="28" t="s">
        <v>620</v>
      </c>
      <c r="S535" s="42" t="str">
        <f aca="false">IF(ISNUMBER($AF535),INDEX(IDX_SrcStat,$AF535),"—")</f>
        <v>—</v>
      </c>
      <c r="T535" s="42" t="str">
        <f aca="false">IF(ISNUMBER($AF535),INDEX(IDX_SrcGrade,$AF535),"—")</f>
        <v>—</v>
      </c>
      <c r="U535" s="42" t="s">
        <v>3886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2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2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5308</v>
      </c>
      <c r="B536" s="224" t="s">
        <v>4951</v>
      </c>
      <c r="C536" s="28" t="s">
        <v>4904</v>
      </c>
      <c r="D536" s="28" t="s">
        <v>4036</v>
      </c>
      <c r="E536" s="19" t="s">
        <v>4910</v>
      </c>
      <c r="F536" s="28" t="s">
        <v>100</v>
      </c>
      <c r="G536" s="224" t="s">
        <v>3882</v>
      </c>
      <c r="H536" s="28" t="s">
        <v>4911</v>
      </c>
      <c r="I536" s="6" t="s">
        <v>620</v>
      </c>
      <c r="J536" s="28" t="s">
        <v>620</v>
      </c>
      <c r="K536" s="226" t="n">
        <v>4096</v>
      </c>
      <c r="L536" s="226" t="n">
        <v>16384</v>
      </c>
      <c r="M536" s="28" t="s">
        <v>5309</v>
      </c>
      <c r="N536" s="6" t="s">
        <v>5310</v>
      </c>
      <c r="O536" s="6" t="s">
        <v>620</v>
      </c>
      <c r="P536" s="224" t="s">
        <v>3941</v>
      </c>
      <c r="Q536" s="47" t="n">
        <f aca="false">Train_In!E26</f>
        <v>8192</v>
      </c>
      <c r="R536" s="177" t="n">
        <f aca="false">SRC_MOD_031</f>
        <v>4096</v>
      </c>
      <c r="S536" s="42" t="str">
        <f aca="false">IF(ISNUMBER($AF536),INDEX(IDX_SrcStat,$AF536),"—")</f>
        <v>Active</v>
      </c>
      <c r="T536" s="42" t="n">
        <f aca="false">IF(ISNUMBER($AF536),INDEX(IDX_SrcGrade,$AF536),"—")</f>
        <v>1</v>
      </c>
      <c r="U536" s="42" t="s">
        <v>3886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2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2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5311</v>
      </c>
      <c r="B537" s="224" t="s">
        <v>4951</v>
      </c>
      <c r="C537" s="28" t="s">
        <v>4904</v>
      </c>
      <c r="D537" s="28" t="s">
        <v>5312</v>
      </c>
      <c r="E537" s="19" t="s">
        <v>5313</v>
      </c>
      <c r="F537" s="28" t="s">
        <v>100</v>
      </c>
      <c r="G537" s="224" t="s">
        <v>4636</v>
      </c>
      <c r="H537" s="28" t="s">
        <v>620</v>
      </c>
      <c r="I537" s="6" t="s">
        <v>620</v>
      </c>
      <c r="J537" s="28" t="s">
        <v>620</v>
      </c>
      <c r="K537" s="224"/>
      <c r="L537" s="224"/>
      <c r="M537" s="28" t="s">
        <v>5314</v>
      </c>
      <c r="N537" s="19" t="s">
        <v>5315</v>
      </c>
      <c r="O537" s="6" t="s">
        <v>620</v>
      </c>
      <c r="P537" s="224" t="s">
        <v>1150</v>
      </c>
      <c r="Q537" s="177" t="s">
        <v>620</v>
      </c>
      <c r="R537" s="28" t="s">
        <v>620</v>
      </c>
      <c r="S537" s="42" t="str">
        <f aca="false">IF(ISNUMBER($AF537),INDEX(IDX_SrcStat,$AF537),"—")</f>
        <v>—</v>
      </c>
      <c r="T537" s="42" t="str">
        <f aca="false">IF(ISNUMBER($AF537),INDEX(IDX_SrcGrade,$AF537),"—")</f>
        <v>—</v>
      </c>
      <c r="U537" s="28" t="s">
        <v>620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2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2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5316</v>
      </c>
      <c r="B538" s="224" t="s">
        <v>4951</v>
      </c>
      <c r="C538" s="28" t="s">
        <v>4904</v>
      </c>
      <c r="D538" s="28" t="s">
        <v>5317</v>
      </c>
      <c r="E538" s="19" t="s">
        <v>960</v>
      </c>
      <c r="F538" s="28" t="s">
        <v>100</v>
      </c>
      <c r="G538" s="224" t="s">
        <v>4636</v>
      </c>
      <c r="H538" s="28" t="s">
        <v>620</v>
      </c>
      <c r="I538" s="6" t="s">
        <v>620</v>
      </c>
      <c r="J538" s="28" t="s">
        <v>620</v>
      </c>
      <c r="K538" s="224"/>
      <c r="L538" s="224"/>
      <c r="M538" s="224" t="s">
        <v>3778</v>
      </c>
      <c r="N538" s="19" t="s">
        <v>5318</v>
      </c>
      <c r="O538" s="6" t="s">
        <v>620</v>
      </c>
      <c r="P538" s="224" t="s">
        <v>1150</v>
      </c>
      <c r="Q538" s="177" t="s">
        <v>620</v>
      </c>
      <c r="R538" s="28" t="s">
        <v>620</v>
      </c>
      <c r="S538" s="42" t="str">
        <f aca="false">IF(ISNUMBER($AF538),INDEX(IDX_SrcStat,$AF538),"—")</f>
        <v>—</v>
      </c>
      <c r="T538" s="42" t="str">
        <f aca="false">IF(ISNUMBER($AF538),INDEX(IDX_SrcGrade,$AF538),"—")</f>
        <v>—</v>
      </c>
      <c r="U538" s="28" t="s">
        <v>620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2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2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5319</v>
      </c>
      <c r="B539" s="224" t="s">
        <v>4951</v>
      </c>
      <c r="C539" s="28" t="s">
        <v>4904</v>
      </c>
      <c r="D539" s="28" t="s">
        <v>5320</v>
      </c>
      <c r="E539" s="6" t="s">
        <v>961</v>
      </c>
      <c r="F539" s="28" t="s">
        <v>100</v>
      </c>
      <c r="G539" s="224" t="s">
        <v>4636</v>
      </c>
      <c r="H539" s="28" t="s">
        <v>620</v>
      </c>
      <c r="I539" s="6" t="s">
        <v>620</v>
      </c>
      <c r="J539" s="28" t="s">
        <v>620</v>
      </c>
      <c r="K539" s="224"/>
      <c r="L539" s="224"/>
      <c r="M539" s="28" t="s">
        <v>5321</v>
      </c>
      <c r="N539" s="6" t="s">
        <v>961</v>
      </c>
      <c r="O539" s="6" t="s">
        <v>620</v>
      </c>
      <c r="P539" s="224" t="s">
        <v>1150</v>
      </c>
      <c r="Q539" s="177" t="s">
        <v>620</v>
      </c>
      <c r="R539" s="28" t="s">
        <v>620</v>
      </c>
      <c r="S539" s="42" t="str">
        <f aca="false">IF(ISNUMBER($AF539),INDEX(IDX_SrcStat,$AF539),"—")</f>
        <v>—</v>
      </c>
      <c r="T539" s="42" t="str">
        <f aca="false">IF(ISNUMBER($AF539),INDEX(IDX_SrcGrade,$AF539),"—")</f>
        <v>—</v>
      </c>
      <c r="U539" s="28" t="s">
        <v>620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2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2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5322</v>
      </c>
      <c r="B540" s="224" t="s">
        <v>4951</v>
      </c>
      <c r="C540" s="28" t="s">
        <v>4904</v>
      </c>
      <c r="D540" s="28" t="s">
        <v>5323</v>
      </c>
      <c r="E540" s="6" t="s">
        <v>963</v>
      </c>
      <c r="F540" s="28" t="s">
        <v>100</v>
      </c>
      <c r="G540" s="224" t="s">
        <v>4636</v>
      </c>
      <c r="H540" s="28" t="s">
        <v>620</v>
      </c>
      <c r="I540" s="6" t="s">
        <v>620</v>
      </c>
      <c r="J540" s="28" t="s">
        <v>620</v>
      </c>
      <c r="K540" s="224"/>
      <c r="L540" s="224"/>
      <c r="M540" s="224" t="s">
        <v>3778</v>
      </c>
      <c r="N540" s="6" t="s">
        <v>5324</v>
      </c>
      <c r="O540" s="6" t="s">
        <v>620</v>
      </c>
      <c r="P540" s="224" t="s">
        <v>1150</v>
      </c>
      <c r="Q540" s="177" t="s">
        <v>620</v>
      </c>
      <c r="R540" s="28" t="s">
        <v>620</v>
      </c>
      <c r="S540" s="42" t="str">
        <f aca="false">IF(ISNUMBER($AF540),INDEX(IDX_SrcStat,$AF540),"—")</f>
        <v>—</v>
      </c>
      <c r="T540" s="42" t="str">
        <f aca="false">IF(ISNUMBER($AF540),INDEX(IDX_SrcGrade,$AF540),"—")</f>
        <v>—</v>
      </c>
      <c r="U540" s="28" t="s">
        <v>620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2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2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5325</v>
      </c>
      <c r="B541" s="224" t="s">
        <v>4951</v>
      </c>
      <c r="C541" s="28" t="s">
        <v>4904</v>
      </c>
      <c r="D541" s="28" t="s">
        <v>5008</v>
      </c>
      <c r="E541" s="19" t="s">
        <v>5326</v>
      </c>
      <c r="F541" s="28" t="s">
        <v>100</v>
      </c>
      <c r="G541" s="224" t="s">
        <v>4636</v>
      </c>
      <c r="H541" s="28" t="s">
        <v>620</v>
      </c>
      <c r="I541" s="6" t="s">
        <v>620</v>
      </c>
      <c r="J541" s="28" t="s">
        <v>620</v>
      </c>
      <c r="K541" s="224"/>
      <c r="L541" s="224"/>
      <c r="M541" s="28" t="s">
        <v>5327</v>
      </c>
      <c r="N541" s="19" t="s">
        <v>5328</v>
      </c>
      <c r="O541" s="6" t="s">
        <v>620</v>
      </c>
      <c r="P541" s="224" t="s">
        <v>1150</v>
      </c>
      <c r="Q541" s="177" t="s">
        <v>620</v>
      </c>
      <c r="R541" s="28" t="s">
        <v>620</v>
      </c>
      <c r="S541" s="42" t="str">
        <f aca="false">IF(ISNUMBER($AF541),INDEX(IDX_SrcStat,$AF541),"—")</f>
        <v>—</v>
      </c>
      <c r="T541" s="42" t="str">
        <f aca="false">IF(ISNUMBER($AF541),INDEX(IDX_SrcGrade,$AF541),"—")</f>
        <v>—</v>
      </c>
      <c r="U541" s="28" t="s">
        <v>620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2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2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5329</v>
      </c>
      <c r="B542" s="224" t="s">
        <v>4951</v>
      </c>
      <c r="C542" s="28" t="s">
        <v>4904</v>
      </c>
      <c r="D542" s="28" t="s">
        <v>5013</v>
      </c>
      <c r="E542" s="6" t="s">
        <v>966</v>
      </c>
      <c r="F542" s="28" t="s">
        <v>100</v>
      </c>
      <c r="G542" s="224" t="s">
        <v>4636</v>
      </c>
      <c r="H542" s="28" t="s">
        <v>620</v>
      </c>
      <c r="I542" s="6" t="s">
        <v>620</v>
      </c>
      <c r="J542" s="28" t="s">
        <v>620</v>
      </c>
      <c r="K542" s="224"/>
      <c r="L542" s="224"/>
      <c r="M542" s="224" t="s">
        <v>5330</v>
      </c>
      <c r="N542" s="6" t="s">
        <v>966</v>
      </c>
      <c r="O542" s="6" t="s">
        <v>620</v>
      </c>
      <c r="P542" s="224" t="s">
        <v>3941</v>
      </c>
      <c r="Q542" s="177" t="s">
        <v>620</v>
      </c>
      <c r="R542" s="28" t="s">
        <v>620</v>
      </c>
      <c r="S542" s="42" t="str">
        <f aca="false">IF(ISNUMBER($AF542),INDEX(IDX_SrcStat,$AF542),"—")</f>
        <v>—</v>
      </c>
      <c r="T542" s="42" t="str">
        <f aca="false">IF(ISNUMBER($AF542),INDEX(IDX_SrcGrade,$AF542),"—")</f>
        <v>—</v>
      </c>
      <c r="U542" s="28" t="s">
        <v>620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2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2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5331</v>
      </c>
      <c r="B543" s="224" t="s">
        <v>4951</v>
      </c>
      <c r="C543" s="28" t="s">
        <v>4904</v>
      </c>
      <c r="D543" s="28" t="s">
        <v>5332</v>
      </c>
      <c r="E543" s="6" t="s">
        <v>967</v>
      </c>
      <c r="F543" s="28" t="s">
        <v>100</v>
      </c>
      <c r="G543" s="224" t="s">
        <v>4636</v>
      </c>
      <c r="H543" s="28" t="s">
        <v>620</v>
      </c>
      <c r="I543" s="6" t="s">
        <v>620</v>
      </c>
      <c r="J543" s="28" t="s">
        <v>620</v>
      </c>
      <c r="K543" s="224"/>
      <c r="L543" s="224"/>
      <c r="M543" s="224" t="s">
        <v>5330</v>
      </c>
      <c r="N543" s="6" t="s">
        <v>967</v>
      </c>
      <c r="O543" s="6" t="s">
        <v>620</v>
      </c>
      <c r="P543" s="224" t="s">
        <v>3941</v>
      </c>
      <c r="Q543" s="177" t="s">
        <v>620</v>
      </c>
      <c r="R543" s="28" t="s">
        <v>620</v>
      </c>
      <c r="S543" s="42" t="str">
        <f aca="false">IF(ISNUMBER($AF543),INDEX(IDX_SrcStat,$AF543),"—")</f>
        <v>—</v>
      </c>
      <c r="T543" s="42" t="str">
        <f aca="false">IF(ISNUMBER($AF543),INDEX(IDX_SrcGrade,$AF543),"—")</f>
        <v>—</v>
      </c>
      <c r="U543" s="28" t="s">
        <v>620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2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2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5333</v>
      </c>
      <c r="B544" s="224" t="s">
        <v>4951</v>
      </c>
      <c r="C544" s="28" t="s">
        <v>4904</v>
      </c>
      <c r="D544" s="28" t="s">
        <v>5334</v>
      </c>
      <c r="E544" s="6" t="s">
        <v>969</v>
      </c>
      <c r="F544" s="28" t="s">
        <v>100</v>
      </c>
      <c r="G544" s="224" t="s">
        <v>4636</v>
      </c>
      <c r="H544" s="28" t="s">
        <v>620</v>
      </c>
      <c r="I544" s="6" t="s">
        <v>620</v>
      </c>
      <c r="J544" s="28" t="s">
        <v>5335</v>
      </c>
      <c r="K544" s="224"/>
      <c r="L544" s="224"/>
      <c r="M544" s="28" t="s">
        <v>5336</v>
      </c>
      <c r="N544" s="6" t="s">
        <v>5337</v>
      </c>
      <c r="O544" s="6" t="s">
        <v>620</v>
      </c>
      <c r="P544" s="224" t="s">
        <v>1151</v>
      </c>
      <c r="Q544" s="177" t="s">
        <v>620</v>
      </c>
      <c r="R544" s="28" t="s">
        <v>620</v>
      </c>
      <c r="S544" s="42" t="str">
        <f aca="false">IF(ISNUMBER($AF544),INDEX(IDX_SrcStat,$AF544),"—")</f>
        <v>—</v>
      </c>
      <c r="T544" s="42" t="str">
        <f aca="false">IF(ISNUMBER($AF544),INDEX(IDX_SrcGrade,$AF544),"—")</f>
        <v>—</v>
      </c>
      <c r="U544" s="28" t="s">
        <v>620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2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2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5338</v>
      </c>
      <c r="B545" s="224" t="s">
        <v>4951</v>
      </c>
      <c r="C545" s="28" t="s">
        <v>4904</v>
      </c>
      <c r="D545" s="28" t="s">
        <v>5339</v>
      </c>
      <c r="E545" s="6" t="s">
        <v>971</v>
      </c>
      <c r="F545" s="28" t="s">
        <v>100</v>
      </c>
      <c r="G545" s="224" t="s">
        <v>4636</v>
      </c>
      <c r="H545" s="28" t="s">
        <v>620</v>
      </c>
      <c r="I545" s="6" t="s">
        <v>620</v>
      </c>
      <c r="J545" s="28" t="s">
        <v>620</v>
      </c>
      <c r="K545" s="224"/>
      <c r="L545" s="224"/>
      <c r="M545" s="28" t="s">
        <v>5340</v>
      </c>
      <c r="N545" s="6" t="s">
        <v>5341</v>
      </c>
      <c r="O545" s="6" t="s">
        <v>620</v>
      </c>
      <c r="P545" s="224" t="s">
        <v>1150</v>
      </c>
      <c r="Q545" s="177" t="s">
        <v>620</v>
      </c>
      <c r="R545" s="28" t="s">
        <v>620</v>
      </c>
      <c r="S545" s="42" t="str">
        <f aca="false">IF(ISNUMBER($AF545),INDEX(IDX_SrcStat,$AF545),"—")</f>
        <v>—</v>
      </c>
      <c r="T545" s="42" t="str">
        <f aca="false">IF(ISNUMBER($AF545),INDEX(IDX_SrcGrade,$AF545),"—")</f>
        <v>—</v>
      </c>
      <c r="U545" s="28" t="s">
        <v>620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2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2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5342</v>
      </c>
      <c r="B546" s="224" t="s">
        <v>4951</v>
      </c>
      <c r="C546" s="28" t="s">
        <v>4904</v>
      </c>
      <c r="D546" s="28" t="s">
        <v>5343</v>
      </c>
      <c r="E546" s="19" t="s">
        <v>5344</v>
      </c>
      <c r="F546" s="28" t="s">
        <v>100</v>
      </c>
      <c r="G546" s="224" t="s">
        <v>4636</v>
      </c>
      <c r="H546" s="28" t="s">
        <v>620</v>
      </c>
      <c r="I546" s="6" t="s">
        <v>620</v>
      </c>
      <c r="J546" s="28" t="s">
        <v>620</v>
      </c>
      <c r="K546" s="224"/>
      <c r="L546" s="224"/>
      <c r="M546" s="224" t="s">
        <v>3778</v>
      </c>
      <c r="N546" s="19" t="s">
        <v>5345</v>
      </c>
      <c r="O546" s="6" t="s">
        <v>5346</v>
      </c>
      <c r="P546" s="224" t="s">
        <v>3885</v>
      </c>
      <c r="Q546" s="177" t="s">
        <v>620</v>
      </c>
      <c r="R546" s="28" t="s">
        <v>620</v>
      </c>
      <c r="S546" s="42" t="str">
        <f aca="false">IF(ISNUMBER($AF546),INDEX(IDX_SrcStat,$AF546),"—")</f>
        <v>—</v>
      </c>
      <c r="T546" s="42" t="str">
        <f aca="false">IF(ISNUMBER($AF546),INDEX(IDX_SrcGrade,$AF546),"—")</f>
        <v>—</v>
      </c>
      <c r="U546" s="28" t="s">
        <v>620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2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2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5347</v>
      </c>
      <c r="B547" s="224" t="s">
        <v>4951</v>
      </c>
      <c r="C547" s="28" t="s">
        <v>4904</v>
      </c>
      <c r="D547" s="28" t="s">
        <v>5348</v>
      </c>
      <c r="E547" s="19" t="s">
        <v>5349</v>
      </c>
      <c r="F547" s="28" t="s">
        <v>100</v>
      </c>
      <c r="G547" s="224" t="s">
        <v>4636</v>
      </c>
      <c r="H547" s="28" t="s">
        <v>620</v>
      </c>
      <c r="I547" s="6" t="s">
        <v>620</v>
      </c>
      <c r="J547" s="28" t="s">
        <v>620</v>
      </c>
      <c r="K547" s="224"/>
      <c r="L547" s="224"/>
      <c r="M547" s="28" t="s">
        <v>5350</v>
      </c>
      <c r="N547" s="19" t="s">
        <v>5349</v>
      </c>
      <c r="O547" s="6" t="s">
        <v>620</v>
      </c>
      <c r="P547" s="224" t="s">
        <v>1150</v>
      </c>
      <c r="Q547" s="177" t="s">
        <v>620</v>
      </c>
      <c r="R547" s="28" t="s">
        <v>620</v>
      </c>
      <c r="S547" s="42" t="str">
        <f aca="false">IF(ISNUMBER($AF547),INDEX(IDX_SrcStat,$AF547),"—")</f>
        <v>—</v>
      </c>
      <c r="T547" s="42" t="str">
        <f aca="false">IF(ISNUMBER($AF547),INDEX(IDX_SrcGrade,$AF547),"—")</f>
        <v>—</v>
      </c>
      <c r="U547" s="28" t="s">
        <v>620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2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2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5351</v>
      </c>
      <c r="B548" s="224" t="s">
        <v>4951</v>
      </c>
      <c r="C548" s="28" t="s">
        <v>4904</v>
      </c>
      <c r="D548" s="28" t="s">
        <v>5352</v>
      </c>
      <c r="E548" s="19" t="s">
        <v>5353</v>
      </c>
      <c r="F548" s="28" t="s">
        <v>100</v>
      </c>
      <c r="G548" s="224" t="s">
        <v>4636</v>
      </c>
      <c r="H548" s="28" t="s">
        <v>620</v>
      </c>
      <c r="I548" s="6" t="s">
        <v>620</v>
      </c>
      <c r="J548" s="28" t="s">
        <v>620</v>
      </c>
      <c r="K548" s="224"/>
      <c r="L548" s="224"/>
      <c r="M548" s="224" t="s">
        <v>5330</v>
      </c>
      <c r="N548" s="19" t="s">
        <v>5353</v>
      </c>
      <c r="O548" s="6" t="s">
        <v>620</v>
      </c>
      <c r="P548" s="224" t="s">
        <v>1150</v>
      </c>
      <c r="Q548" s="177" t="s">
        <v>620</v>
      </c>
      <c r="R548" s="28" t="s">
        <v>620</v>
      </c>
      <c r="S548" s="42" t="str">
        <f aca="false">IF(ISNUMBER($AF548),INDEX(IDX_SrcStat,$AF548),"—")</f>
        <v>—</v>
      </c>
      <c r="T548" s="42" t="str">
        <f aca="false">IF(ISNUMBER($AF548),INDEX(IDX_SrcGrade,$AF548),"—")</f>
        <v>—</v>
      </c>
      <c r="U548" s="28" t="s">
        <v>620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2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2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5354</v>
      </c>
      <c r="B549" s="224" t="s">
        <v>4951</v>
      </c>
      <c r="C549" s="28" t="s">
        <v>4904</v>
      </c>
      <c r="D549" s="28" t="s">
        <v>5355</v>
      </c>
      <c r="E549" s="6" t="s">
        <v>986</v>
      </c>
      <c r="F549" s="28" t="s">
        <v>3974</v>
      </c>
      <c r="G549" s="224" t="s">
        <v>3882</v>
      </c>
      <c r="H549" s="28" t="s">
        <v>2905</v>
      </c>
      <c r="I549" s="19" t="s">
        <v>5356</v>
      </c>
      <c r="J549" s="28" t="s">
        <v>620</v>
      </c>
      <c r="K549" s="224"/>
      <c r="L549" s="224"/>
      <c r="M549" s="28" t="s">
        <v>620</v>
      </c>
      <c r="N549" s="19" t="s">
        <v>5357</v>
      </c>
      <c r="O549" s="6" t="s">
        <v>620</v>
      </c>
      <c r="P549" s="224" t="s">
        <v>3885</v>
      </c>
      <c r="Q549" s="189" t="n">
        <f aca="false">Train_In!C44</f>
        <v>0.0551801801801802</v>
      </c>
      <c r="R549" s="177" t="n">
        <f aca="false">SRC_MOD_034</f>
        <v>0.147</v>
      </c>
      <c r="S549" s="42" t="str">
        <f aca="false">IF(ISNUMBER($AF549),INDEX(IDX_SrcStat,$AF549),"—")</f>
        <v>Active</v>
      </c>
      <c r="T549" s="42" t="n">
        <f aca="false">IF(ISNUMBER($AF549),INDEX(IDX_SrcGrade,$AF549),"—")</f>
        <v>2</v>
      </c>
      <c r="U549" s="42" t="s">
        <v>3919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2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2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5358</v>
      </c>
      <c r="B550" s="224" t="s">
        <v>4951</v>
      </c>
      <c r="C550" s="28" t="s">
        <v>4904</v>
      </c>
      <c r="D550" s="28" t="s">
        <v>5359</v>
      </c>
      <c r="E550" s="19" t="s">
        <v>992</v>
      </c>
      <c r="F550" s="28" t="s">
        <v>104</v>
      </c>
      <c r="G550" s="224" t="s">
        <v>85</v>
      </c>
      <c r="H550" s="28" t="s">
        <v>5360</v>
      </c>
      <c r="I550" s="19" t="s">
        <v>5361</v>
      </c>
      <c r="J550" s="28" t="s">
        <v>5305</v>
      </c>
      <c r="K550" s="231" t="n">
        <f aca="false">Train_In!C46</f>
        <v>2E+026</v>
      </c>
      <c r="L550" s="231" t="n">
        <f aca="false">Train_In!C48</f>
        <v>2E+027</v>
      </c>
      <c r="M550" s="28" t="s">
        <v>620</v>
      </c>
      <c r="N550" s="6" t="s">
        <v>5362</v>
      </c>
      <c r="O550" s="6" t="s">
        <v>620</v>
      </c>
      <c r="P550" s="224" t="s">
        <v>3885</v>
      </c>
      <c r="Q550" s="231" t="n">
        <f aca="false">Train_In!C47</f>
        <v>5E+026</v>
      </c>
      <c r="R550" s="177" t="n">
        <f aca="false">SRC_MOD_033</f>
        <v>4.6E+026</v>
      </c>
      <c r="S550" s="42" t="str">
        <f aca="false">IF(ISNUMBER($AF550),INDEX(IDX_SrcStat,$AF550),"—")</f>
        <v>Active</v>
      </c>
      <c r="T550" s="42" t="n">
        <f aca="false">IF(ISNUMBER($AF550),INDEX(IDX_SrcGrade,$AF550),"—")</f>
        <v>1</v>
      </c>
      <c r="U550" s="42" t="s">
        <v>3886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2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2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5363</v>
      </c>
      <c r="B551" s="224" t="s">
        <v>4951</v>
      </c>
      <c r="C551" s="28" t="s">
        <v>4904</v>
      </c>
      <c r="D551" s="28" t="s">
        <v>5364</v>
      </c>
      <c r="E551" s="19" t="s">
        <v>990</v>
      </c>
      <c r="F551" s="28" t="s">
        <v>104</v>
      </c>
      <c r="G551" s="224" t="s">
        <v>1150</v>
      </c>
      <c r="H551" s="28" t="s">
        <v>5360</v>
      </c>
      <c r="I551" s="19" t="s">
        <v>3905</v>
      </c>
      <c r="J551" s="28" t="s">
        <v>5305</v>
      </c>
      <c r="K551" s="224"/>
      <c r="L551" s="224"/>
      <c r="M551" s="28" t="s">
        <v>620</v>
      </c>
      <c r="N551" s="19" t="s">
        <v>5365</v>
      </c>
      <c r="O551" s="6" t="s">
        <v>620</v>
      </c>
      <c r="P551" s="224" t="s">
        <v>3885</v>
      </c>
      <c r="Q551" s="231" t="n">
        <f aca="false">Train_In!C46</f>
        <v>2E+026</v>
      </c>
      <c r="R551" s="177" t="n">
        <f aca="false">SRC_MOD_033</f>
        <v>4.6E+026</v>
      </c>
      <c r="S551" s="42" t="str">
        <f aca="false">IF(ISNUMBER($AF551),INDEX(IDX_SrcStat,$AF551),"—")</f>
        <v>Active</v>
      </c>
      <c r="T551" s="42" t="n">
        <f aca="false">IF(ISNUMBER($AF551),INDEX(IDX_SrcGrade,$AF551),"—")</f>
        <v>1</v>
      </c>
      <c r="U551" s="42" t="s">
        <v>3886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2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2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5366</v>
      </c>
      <c r="B552" s="224" t="s">
        <v>4951</v>
      </c>
      <c r="C552" s="28" t="s">
        <v>4904</v>
      </c>
      <c r="D552" s="28" t="s">
        <v>5367</v>
      </c>
      <c r="E552" s="19" t="s">
        <v>993</v>
      </c>
      <c r="F552" s="28" t="s">
        <v>104</v>
      </c>
      <c r="G552" s="224" t="s">
        <v>1151</v>
      </c>
      <c r="H552" s="28" t="s">
        <v>5360</v>
      </c>
      <c r="I552" s="19" t="s">
        <v>3905</v>
      </c>
      <c r="J552" s="28" t="s">
        <v>5305</v>
      </c>
      <c r="K552" s="224"/>
      <c r="L552" s="224"/>
      <c r="M552" s="28" t="s">
        <v>620</v>
      </c>
      <c r="N552" s="19" t="s">
        <v>5368</v>
      </c>
      <c r="O552" s="6" t="s">
        <v>620</v>
      </c>
      <c r="P552" s="224" t="s">
        <v>3885</v>
      </c>
      <c r="Q552" s="231" t="n">
        <f aca="false">Train_In!C48</f>
        <v>2E+027</v>
      </c>
      <c r="R552" s="177" t="n">
        <f aca="false">SRC_MOD_033</f>
        <v>4.6E+026</v>
      </c>
      <c r="S552" s="42" t="str">
        <f aca="false">IF(ISNUMBER($AF552),INDEX(IDX_SrcStat,$AF552),"—")</f>
        <v>Active</v>
      </c>
      <c r="T552" s="42" t="n">
        <f aca="false">IF(ISNUMBER($AF552),INDEX(IDX_SrcGrade,$AF552),"—")</f>
        <v>1</v>
      </c>
      <c r="U552" s="42" t="s">
        <v>3886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2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2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5369</v>
      </c>
      <c r="B553" s="224" t="s">
        <v>4951</v>
      </c>
      <c r="C553" s="28" t="s">
        <v>4933</v>
      </c>
      <c r="D553" s="28" t="s">
        <v>4880</v>
      </c>
      <c r="E553" s="19" t="s">
        <v>452</v>
      </c>
      <c r="F553" s="224" t="s">
        <v>4635</v>
      </c>
      <c r="G553" s="224" t="s">
        <v>4636</v>
      </c>
      <c r="H553" s="28" t="s">
        <v>620</v>
      </c>
      <c r="I553" s="6" t="s">
        <v>620</v>
      </c>
      <c r="J553" s="28" t="s">
        <v>620</v>
      </c>
      <c r="K553" s="224"/>
      <c r="L553" s="224"/>
      <c r="M553" s="28" t="s">
        <v>620</v>
      </c>
      <c r="N553" s="19" t="s">
        <v>452</v>
      </c>
      <c r="O553" s="6" t="s">
        <v>620</v>
      </c>
      <c r="P553" s="224" t="s">
        <v>3885</v>
      </c>
      <c r="Q553" s="177" t="s">
        <v>620</v>
      </c>
      <c r="R553" s="28" t="s">
        <v>620</v>
      </c>
      <c r="S553" s="42" t="str">
        <f aca="false">IF(ISNUMBER($AF553),INDEX(IDX_SrcStat,$AF553),"—")</f>
        <v>—</v>
      </c>
      <c r="T553" s="42" t="str">
        <f aca="false">IF(ISNUMBER($AF553),INDEX(IDX_SrcGrade,$AF553),"—")</f>
        <v>—</v>
      </c>
      <c r="U553" s="28" t="s">
        <v>620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2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2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5370</v>
      </c>
      <c r="B554" s="224" t="s">
        <v>4951</v>
      </c>
      <c r="C554" s="28" t="s">
        <v>4933</v>
      </c>
      <c r="D554" s="28" t="s">
        <v>4882</v>
      </c>
      <c r="E554" s="19" t="s">
        <v>723</v>
      </c>
      <c r="F554" s="224" t="s">
        <v>4635</v>
      </c>
      <c r="G554" s="224" t="s">
        <v>4636</v>
      </c>
      <c r="H554" s="28" t="s">
        <v>620</v>
      </c>
      <c r="I554" s="6" t="s">
        <v>620</v>
      </c>
      <c r="J554" s="28" t="s">
        <v>620</v>
      </c>
      <c r="K554" s="224"/>
      <c r="L554" s="224"/>
      <c r="M554" s="28" t="s">
        <v>620</v>
      </c>
      <c r="N554" s="19" t="s">
        <v>723</v>
      </c>
      <c r="O554" s="6" t="s">
        <v>620</v>
      </c>
      <c r="P554" s="224" t="s">
        <v>3885</v>
      </c>
      <c r="Q554" s="177" t="s">
        <v>620</v>
      </c>
      <c r="R554" s="28" t="s">
        <v>620</v>
      </c>
      <c r="S554" s="42" t="str">
        <f aca="false">IF(ISNUMBER($AF554),INDEX(IDX_SrcStat,$AF554),"—")</f>
        <v>—</v>
      </c>
      <c r="T554" s="42" t="str">
        <f aca="false">IF(ISNUMBER($AF554),INDEX(IDX_SrcGrade,$AF554),"—")</f>
        <v>—</v>
      </c>
      <c r="U554" s="28" t="s">
        <v>620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2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2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5371</v>
      </c>
      <c r="B555" s="224" t="s">
        <v>4951</v>
      </c>
      <c r="C555" s="28" t="s">
        <v>4933</v>
      </c>
      <c r="D555" s="28" t="s">
        <v>5372</v>
      </c>
      <c r="E555" s="19" t="s">
        <v>5373</v>
      </c>
      <c r="F555" s="224" t="s">
        <v>4747</v>
      </c>
      <c r="G555" s="224" t="s">
        <v>4636</v>
      </c>
      <c r="H555" s="28" t="s">
        <v>620</v>
      </c>
      <c r="I555" s="6" t="s">
        <v>620</v>
      </c>
      <c r="J555" s="28" t="s">
        <v>620</v>
      </c>
      <c r="K555" s="224"/>
      <c r="L555" s="224"/>
      <c r="M555" s="28" t="s">
        <v>620</v>
      </c>
      <c r="N555" s="6" t="s">
        <v>5374</v>
      </c>
      <c r="O555" s="6" t="s">
        <v>620</v>
      </c>
      <c r="P555" s="224" t="s">
        <v>3885</v>
      </c>
      <c r="Q555" s="177" t="s">
        <v>620</v>
      </c>
      <c r="R555" s="28" t="s">
        <v>620</v>
      </c>
      <c r="S555" s="42" t="str">
        <f aca="false">IF(ISNUMBER($AF555),INDEX(IDX_SrcStat,$AF555),"—")</f>
        <v>—</v>
      </c>
      <c r="T555" s="42" t="str">
        <f aca="false">IF(ISNUMBER($AF555),INDEX(IDX_SrcGrade,$AF555),"—")</f>
        <v>—</v>
      </c>
      <c r="U555" s="28" t="s">
        <v>620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2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2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5375</v>
      </c>
      <c r="B556" s="224" t="s">
        <v>4951</v>
      </c>
      <c r="C556" s="28" t="s">
        <v>4933</v>
      </c>
      <c r="D556" s="28" t="s">
        <v>5376</v>
      </c>
      <c r="E556" s="6" t="s">
        <v>1011</v>
      </c>
      <c r="F556" s="224" t="s">
        <v>4747</v>
      </c>
      <c r="G556" s="224" t="s">
        <v>4636</v>
      </c>
      <c r="H556" s="28" t="s">
        <v>620</v>
      </c>
      <c r="I556" s="6" t="s">
        <v>620</v>
      </c>
      <c r="J556" s="28" t="s">
        <v>620</v>
      </c>
      <c r="K556" s="224"/>
      <c r="L556" s="224"/>
      <c r="M556" s="28" t="s">
        <v>620</v>
      </c>
      <c r="N556" s="6" t="s">
        <v>5377</v>
      </c>
      <c r="O556" s="6" t="s">
        <v>620</v>
      </c>
      <c r="P556" s="224" t="s">
        <v>3885</v>
      </c>
      <c r="Q556" s="177" t="s">
        <v>620</v>
      </c>
      <c r="R556" s="28" t="s">
        <v>620</v>
      </c>
      <c r="S556" s="42" t="str">
        <f aca="false">IF(ISNUMBER($AF556),INDEX(IDX_SrcStat,$AF556),"—")</f>
        <v>—</v>
      </c>
      <c r="T556" s="42" t="str">
        <f aca="false">IF(ISNUMBER($AF556),INDEX(IDX_SrcGrade,$AF556),"—")</f>
        <v>—</v>
      </c>
      <c r="U556" s="28" t="s">
        <v>620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2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2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5378</v>
      </c>
      <c r="B557" s="224" t="s">
        <v>4951</v>
      </c>
      <c r="C557" s="28" t="s">
        <v>4933</v>
      </c>
      <c r="D557" s="28" t="s">
        <v>5379</v>
      </c>
      <c r="E557" s="19" t="s">
        <v>5380</v>
      </c>
      <c r="F557" s="224" t="s">
        <v>4747</v>
      </c>
      <c r="G557" s="224" t="s">
        <v>4636</v>
      </c>
      <c r="H557" s="28" t="s">
        <v>620</v>
      </c>
      <c r="I557" s="6" t="s">
        <v>620</v>
      </c>
      <c r="J557" s="28" t="s">
        <v>620</v>
      </c>
      <c r="K557" s="224"/>
      <c r="L557" s="224"/>
      <c r="M557" s="28" t="s">
        <v>620</v>
      </c>
      <c r="N557" s="6" t="s">
        <v>5381</v>
      </c>
      <c r="O557" s="6" t="s">
        <v>620</v>
      </c>
      <c r="P557" s="224" t="s">
        <v>3885</v>
      </c>
      <c r="Q557" s="177" t="s">
        <v>620</v>
      </c>
      <c r="R557" s="28" t="s">
        <v>620</v>
      </c>
      <c r="S557" s="42" t="str">
        <f aca="false">IF(ISNUMBER($AF557),INDEX(IDX_SrcStat,$AF557),"—")</f>
        <v>—</v>
      </c>
      <c r="T557" s="42" t="str">
        <f aca="false">IF(ISNUMBER($AF557),INDEX(IDX_SrcGrade,$AF557),"—")</f>
        <v>—</v>
      </c>
      <c r="U557" s="28" t="s">
        <v>620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2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2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5382</v>
      </c>
      <c r="B558" s="224" t="s">
        <v>4951</v>
      </c>
      <c r="C558" s="28" t="s">
        <v>4933</v>
      </c>
      <c r="D558" s="28" t="s">
        <v>5383</v>
      </c>
      <c r="E558" s="6" t="s">
        <v>1045</v>
      </c>
      <c r="F558" s="224" t="s">
        <v>4747</v>
      </c>
      <c r="G558" s="224" t="s">
        <v>4636</v>
      </c>
      <c r="H558" s="28" t="s">
        <v>620</v>
      </c>
      <c r="I558" s="6" t="s">
        <v>620</v>
      </c>
      <c r="J558" s="28" t="s">
        <v>620</v>
      </c>
      <c r="K558" s="224"/>
      <c r="L558" s="224"/>
      <c r="M558" s="28" t="s">
        <v>620</v>
      </c>
      <c r="N558" s="6" t="s">
        <v>5384</v>
      </c>
      <c r="O558" s="6" t="s">
        <v>620</v>
      </c>
      <c r="P558" s="224" t="s">
        <v>3885</v>
      </c>
      <c r="Q558" s="177" t="s">
        <v>620</v>
      </c>
      <c r="R558" s="28" t="s">
        <v>620</v>
      </c>
      <c r="S558" s="42" t="str">
        <f aca="false">IF(ISNUMBER($AF558),INDEX(IDX_SrcStat,$AF558),"—")</f>
        <v>—</v>
      </c>
      <c r="T558" s="42" t="str">
        <f aca="false">IF(ISNUMBER($AF558),INDEX(IDX_SrcGrade,$AF558),"—")</f>
        <v>—</v>
      </c>
      <c r="U558" s="28" t="s">
        <v>620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2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2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5385</v>
      </c>
      <c r="B559" s="224" t="s">
        <v>4951</v>
      </c>
      <c r="C559" s="28" t="s">
        <v>4933</v>
      </c>
      <c r="D559" s="28" t="s">
        <v>5386</v>
      </c>
      <c r="E559" s="19" t="s">
        <v>1099</v>
      </c>
      <c r="F559" s="224" t="s">
        <v>4747</v>
      </c>
      <c r="G559" s="224" t="s">
        <v>4636</v>
      </c>
      <c r="H559" s="28" t="s">
        <v>620</v>
      </c>
      <c r="I559" s="6" t="s">
        <v>620</v>
      </c>
      <c r="J559" s="28" t="s">
        <v>620</v>
      </c>
      <c r="K559" s="224"/>
      <c r="L559" s="224"/>
      <c r="M559" s="28" t="s">
        <v>620</v>
      </c>
      <c r="N559" s="6" t="s">
        <v>5387</v>
      </c>
      <c r="O559" s="6" t="s">
        <v>620</v>
      </c>
      <c r="P559" s="224" t="s">
        <v>3885</v>
      </c>
      <c r="Q559" s="177" t="s">
        <v>620</v>
      </c>
      <c r="R559" s="28" t="s">
        <v>620</v>
      </c>
      <c r="S559" s="42" t="str">
        <f aca="false">IF(ISNUMBER($AF559),INDEX(IDX_SrcStat,$AF559),"—")</f>
        <v>—</v>
      </c>
      <c r="T559" s="42" t="str">
        <f aca="false">IF(ISNUMBER($AF559),INDEX(IDX_SrcGrade,$AF559),"—")</f>
        <v>—</v>
      </c>
      <c r="U559" s="28" t="s">
        <v>620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2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2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5388</v>
      </c>
      <c r="B560" s="224" t="s">
        <v>4951</v>
      </c>
      <c r="C560" s="28" t="s">
        <v>5389</v>
      </c>
      <c r="D560" s="28" t="s">
        <v>5390</v>
      </c>
      <c r="E560" s="19" t="s">
        <v>452</v>
      </c>
      <c r="F560" s="224" t="s">
        <v>4635</v>
      </c>
      <c r="G560" s="224" t="s">
        <v>4636</v>
      </c>
      <c r="H560" s="28" t="s">
        <v>620</v>
      </c>
      <c r="I560" s="6" t="s">
        <v>620</v>
      </c>
      <c r="J560" s="28" t="s">
        <v>620</v>
      </c>
      <c r="K560" s="224"/>
      <c r="L560" s="224"/>
      <c r="M560" s="28" t="s">
        <v>620</v>
      </c>
      <c r="N560" s="19" t="s">
        <v>452</v>
      </c>
      <c r="O560" s="6" t="s">
        <v>620</v>
      </c>
      <c r="P560" s="224" t="s">
        <v>3885</v>
      </c>
      <c r="Q560" s="177" t="s">
        <v>620</v>
      </c>
      <c r="R560" s="28" t="s">
        <v>620</v>
      </c>
      <c r="S560" s="42" t="str">
        <f aca="false">IF(ISNUMBER($AF560),INDEX(IDX_SrcStat,$AF560),"—")</f>
        <v>—</v>
      </c>
      <c r="T560" s="42" t="str">
        <f aca="false">IF(ISNUMBER($AF560),INDEX(IDX_SrcGrade,$AF560),"—")</f>
        <v>—</v>
      </c>
      <c r="U560" s="28" t="s">
        <v>620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2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2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5391</v>
      </c>
      <c r="B561" s="224" t="s">
        <v>4951</v>
      </c>
      <c r="C561" s="28" t="s">
        <v>5389</v>
      </c>
      <c r="D561" s="28" t="s">
        <v>5392</v>
      </c>
      <c r="E561" s="19" t="s">
        <v>723</v>
      </c>
      <c r="F561" s="224" t="s">
        <v>4635</v>
      </c>
      <c r="G561" s="224" t="s">
        <v>4636</v>
      </c>
      <c r="H561" s="28" t="s">
        <v>620</v>
      </c>
      <c r="I561" s="6" t="s">
        <v>620</v>
      </c>
      <c r="J561" s="28" t="s">
        <v>620</v>
      </c>
      <c r="K561" s="224"/>
      <c r="L561" s="224"/>
      <c r="M561" s="28" t="s">
        <v>620</v>
      </c>
      <c r="N561" s="19" t="s">
        <v>723</v>
      </c>
      <c r="O561" s="6" t="s">
        <v>620</v>
      </c>
      <c r="P561" s="224" t="s">
        <v>3885</v>
      </c>
      <c r="Q561" s="177" t="s">
        <v>620</v>
      </c>
      <c r="R561" s="28" t="s">
        <v>620</v>
      </c>
      <c r="S561" s="42" t="str">
        <f aca="false">IF(ISNUMBER($AF561),INDEX(IDX_SrcStat,$AF561),"—")</f>
        <v>—</v>
      </c>
      <c r="T561" s="42" t="str">
        <f aca="false">IF(ISNUMBER($AF561),INDEX(IDX_SrcGrade,$AF561),"—")</f>
        <v>—</v>
      </c>
      <c r="U561" s="28" t="s">
        <v>620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2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2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5393</v>
      </c>
      <c r="B562" s="224" t="s">
        <v>4951</v>
      </c>
      <c r="C562" s="28" t="s">
        <v>5389</v>
      </c>
      <c r="D562" s="28" t="s">
        <v>5394</v>
      </c>
      <c r="E562" s="19" t="s">
        <v>5395</v>
      </c>
      <c r="F562" s="224" t="s">
        <v>4747</v>
      </c>
      <c r="G562" s="224" t="s">
        <v>4636</v>
      </c>
      <c r="H562" s="28" t="s">
        <v>620</v>
      </c>
      <c r="I562" s="6" t="s">
        <v>620</v>
      </c>
      <c r="J562" s="28" t="s">
        <v>5396</v>
      </c>
      <c r="K562" s="224"/>
      <c r="L562" s="224"/>
      <c r="M562" s="28" t="s">
        <v>620</v>
      </c>
      <c r="N562" s="6" t="s">
        <v>5397</v>
      </c>
      <c r="O562" s="6" t="s">
        <v>620</v>
      </c>
      <c r="P562" s="224" t="s">
        <v>3885</v>
      </c>
      <c r="Q562" s="177" t="s">
        <v>620</v>
      </c>
      <c r="R562" s="28" t="s">
        <v>620</v>
      </c>
      <c r="S562" s="42" t="str">
        <f aca="false">IF(ISNUMBER($AF562),INDEX(IDX_SrcStat,$AF562),"—")</f>
        <v>—</v>
      </c>
      <c r="T562" s="42" t="str">
        <f aca="false">IF(ISNUMBER($AF562),INDEX(IDX_SrcGrade,$AF562),"—")</f>
        <v>—</v>
      </c>
      <c r="U562" s="28" t="s">
        <v>620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2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2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5398</v>
      </c>
      <c r="B563" s="224" t="s">
        <v>4951</v>
      </c>
      <c r="C563" s="28" t="s">
        <v>3634</v>
      </c>
      <c r="D563" s="28" t="s">
        <v>4875</v>
      </c>
      <c r="E563" s="19" t="s">
        <v>452</v>
      </c>
      <c r="F563" s="224" t="s">
        <v>4635</v>
      </c>
      <c r="G563" s="224" t="s">
        <v>4636</v>
      </c>
      <c r="H563" s="28" t="s">
        <v>620</v>
      </c>
      <c r="I563" s="6" t="s">
        <v>620</v>
      </c>
      <c r="J563" s="28" t="s">
        <v>620</v>
      </c>
      <c r="K563" s="224"/>
      <c r="L563" s="224"/>
      <c r="M563" s="28" t="s">
        <v>620</v>
      </c>
      <c r="N563" s="19" t="s">
        <v>452</v>
      </c>
      <c r="O563" s="6" t="s">
        <v>620</v>
      </c>
      <c r="P563" s="224" t="s">
        <v>3885</v>
      </c>
      <c r="Q563" s="177" t="s">
        <v>620</v>
      </c>
      <c r="R563" s="28" t="s">
        <v>620</v>
      </c>
      <c r="S563" s="42" t="str">
        <f aca="false">IF(ISNUMBER($AF563),INDEX(IDX_SrcStat,$AF563),"—")</f>
        <v>—</v>
      </c>
      <c r="T563" s="42" t="str">
        <f aca="false">IF(ISNUMBER($AF563),INDEX(IDX_SrcGrade,$AF563),"—")</f>
        <v>—</v>
      </c>
      <c r="U563" s="28" t="s">
        <v>620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2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2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5399</v>
      </c>
      <c r="B564" s="224" t="s">
        <v>4951</v>
      </c>
      <c r="C564" s="28" t="s">
        <v>3634</v>
      </c>
      <c r="D564" s="28" t="s">
        <v>4878</v>
      </c>
      <c r="E564" s="19" t="s">
        <v>723</v>
      </c>
      <c r="F564" s="224" t="s">
        <v>4635</v>
      </c>
      <c r="G564" s="224" t="s">
        <v>4636</v>
      </c>
      <c r="H564" s="28" t="s">
        <v>620</v>
      </c>
      <c r="I564" s="6" t="s">
        <v>620</v>
      </c>
      <c r="J564" s="28" t="s">
        <v>620</v>
      </c>
      <c r="K564" s="224"/>
      <c r="L564" s="224"/>
      <c r="M564" s="28" t="s">
        <v>620</v>
      </c>
      <c r="N564" s="19" t="s">
        <v>723</v>
      </c>
      <c r="O564" s="6" t="s">
        <v>620</v>
      </c>
      <c r="P564" s="224" t="s">
        <v>3885</v>
      </c>
      <c r="Q564" s="177" t="s">
        <v>620</v>
      </c>
      <c r="R564" s="28" t="s">
        <v>620</v>
      </c>
      <c r="S564" s="42" t="str">
        <f aca="false">IF(ISNUMBER($AF564),INDEX(IDX_SrcStat,$AF564),"—")</f>
        <v>—</v>
      </c>
      <c r="T564" s="42" t="str">
        <f aca="false">IF(ISNUMBER($AF564),INDEX(IDX_SrcGrade,$AF564),"—")</f>
        <v>—</v>
      </c>
      <c r="U564" s="28" t="s">
        <v>620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2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2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5400</v>
      </c>
      <c r="B565" s="224" t="s">
        <v>4951</v>
      </c>
      <c r="C565" s="28" t="s">
        <v>4942</v>
      </c>
      <c r="D565" s="28" t="s">
        <v>5401</v>
      </c>
      <c r="E565" s="19" t="s">
        <v>5402</v>
      </c>
      <c r="F565" s="224" t="s">
        <v>4747</v>
      </c>
      <c r="G565" s="224" t="s">
        <v>4636</v>
      </c>
      <c r="H565" s="28" t="s">
        <v>620</v>
      </c>
      <c r="I565" s="6" t="s">
        <v>620</v>
      </c>
      <c r="J565" s="28" t="s">
        <v>620</v>
      </c>
      <c r="K565" s="224"/>
      <c r="L565" s="224"/>
      <c r="M565" s="28" t="s">
        <v>620</v>
      </c>
      <c r="N565" s="6" t="s">
        <v>5403</v>
      </c>
      <c r="O565" s="6" t="s">
        <v>620</v>
      </c>
      <c r="P565" s="224" t="s">
        <v>3885</v>
      </c>
      <c r="Q565" s="177" t="s">
        <v>620</v>
      </c>
      <c r="R565" s="28" t="s">
        <v>620</v>
      </c>
      <c r="S565" s="42" t="str">
        <f aca="false">IF(ISNUMBER($AF565),INDEX(IDX_SrcStat,$AF565),"—")</f>
        <v>—</v>
      </c>
      <c r="T565" s="42" t="str">
        <f aca="false">IF(ISNUMBER($AF565),INDEX(IDX_SrcGrade,$AF565),"—")</f>
        <v>—</v>
      </c>
      <c r="U565" s="28" t="s">
        <v>620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2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2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5404</v>
      </c>
      <c r="B566" s="224" t="s">
        <v>4951</v>
      </c>
      <c r="C566" s="28" t="s">
        <v>4942</v>
      </c>
      <c r="D566" s="28" t="s">
        <v>5405</v>
      </c>
      <c r="E566" s="19" t="s">
        <v>5406</v>
      </c>
      <c r="F566" s="224" t="s">
        <v>4747</v>
      </c>
      <c r="G566" s="224" t="s">
        <v>4636</v>
      </c>
      <c r="H566" s="28" t="s">
        <v>620</v>
      </c>
      <c r="I566" s="6" t="s">
        <v>620</v>
      </c>
      <c r="J566" s="28" t="s">
        <v>620</v>
      </c>
      <c r="K566" s="224"/>
      <c r="L566" s="224"/>
      <c r="M566" s="28" t="s">
        <v>620</v>
      </c>
      <c r="N566" s="6" t="s">
        <v>5407</v>
      </c>
      <c r="O566" s="6" t="s">
        <v>620</v>
      </c>
      <c r="P566" s="224" t="s">
        <v>3885</v>
      </c>
      <c r="Q566" s="177" t="s">
        <v>620</v>
      </c>
      <c r="R566" s="28" t="s">
        <v>620</v>
      </c>
      <c r="S566" s="42" t="str">
        <f aca="false">IF(ISNUMBER($AF566),INDEX(IDX_SrcStat,$AF566),"—")</f>
        <v>—</v>
      </c>
      <c r="T566" s="42" t="str">
        <f aca="false">IF(ISNUMBER($AF566),INDEX(IDX_SrcGrade,$AF566),"—")</f>
        <v>—</v>
      </c>
      <c r="U566" s="28" t="s">
        <v>620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2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2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5408</v>
      </c>
      <c r="B567" s="224" t="s">
        <v>4951</v>
      </c>
      <c r="C567" s="28" t="s">
        <v>4942</v>
      </c>
      <c r="D567" s="28" t="s">
        <v>5409</v>
      </c>
      <c r="E567" s="19" t="s">
        <v>5410</v>
      </c>
      <c r="F567" s="224" t="s">
        <v>4747</v>
      </c>
      <c r="G567" s="224" t="s">
        <v>4636</v>
      </c>
      <c r="H567" s="28" t="s">
        <v>620</v>
      </c>
      <c r="I567" s="6" t="s">
        <v>620</v>
      </c>
      <c r="J567" s="28" t="s">
        <v>620</v>
      </c>
      <c r="K567" s="224"/>
      <c r="L567" s="224"/>
      <c r="M567" s="28" t="s">
        <v>620</v>
      </c>
      <c r="N567" s="6" t="s">
        <v>5411</v>
      </c>
      <c r="O567" s="6" t="s">
        <v>620</v>
      </c>
      <c r="P567" s="224" t="s">
        <v>3885</v>
      </c>
      <c r="Q567" s="177" t="s">
        <v>620</v>
      </c>
      <c r="R567" s="28" t="s">
        <v>620</v>
      </c>
      <c r="S567" s="42" t="str">
        <f aca="false">IF(ISNUMBER($AF567),INDEX(IDX_SrcStat,$AF567),"—")</f>
        <v>—</v>
      </c>
      <c r="T567" s="42" t="str">
        <f aca="false">IF(ISNUMBER($AF567),INDEX(IDX_SrcGrade,$AF567),"—")</f>
        <v>—</v>
      </c>
      <c r="U567" s="28" t="s">
        <v>620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2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2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5412</v>
      </c>
      <c r="B568" s="224" t="s">
        <v>4951</v>
      </c>
      <c r="C568" s="28" t="s">
        <v>4942</v>
      </c>
      <c r="D568" s="28" t="s">
        <v>5413</v>
      </c>
      <c r="E568" s="19" t="s">
        <v>5414</v>
      </c>
      <c r="F568" s="224" t="s">
        <v>4747</v>
      </c>
      <c r="G568" s="224" t="s">
        <v>4636</v>
      </c>
      <c r="H568" s="28" t="s">
        <v>620</v>
      </c>
      <c r="I568" s="6" t="s">
        <v>620</v>
      </c>
      <c r="J568" s="28" t="s">
        <v>620</v>
      </c>
      <c r="K568" s="224"/>
      <c r="L568" s="224"/>
      <c r="M568" s="28" t="s">
        <v>620</v>
      </c>
      <c r="N568" s="6" t="s">
        <v>5415</v>
      </c>
      <c r="O568" s="6" t="s">
        <v>620</v>
      </c>
      <c r="P568" s="224" t="s">
        <v>3885</v>
      </c>
      <c r="Q568" s="177" t="s">
        <v>620</v>
      </c>
      <c r="R568" s="28" t="s">
        <v>620</v>
      </c>
      <c r="S568" s="42" t="str">
        <f aca="false">IF(ISNUMBER($AF568),INDEX(IDX_SrcStat,$AF568),"—")</f>
        <v>—</v>
      </c>
      <c r="T568" s="42" t="str">
        <f aca="false">IF(ISNUMBER($AF568),INDEX(IDX_SrcGrade,$AF568),"—")</f>
        <v>—</v>
      </c>
      <c r="U568" s="28" t="s">
        <v>620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2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2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5416</v>
      </c>
      <c r="B569" s="224" t="s">
        <v>4951</v>
      </c>
      <c r="C569" s="28" t="s">
        <v>4942</v>
      </c>
      <c r="D569" s="28" t="s">
        <v>5417</v>
      </c>
      <c r="E569" s="19" t="s">
        <v>5418</v>
      </c>
      <c r="F569" s="224" t="s">
        <v>4747</v>
      </c>
      <c r="G569" s="224" t="s">
        <v>4636</v>
      </c>
      <c r="H569" s="28" t="s">
        <v>620</v>
      </c>
      <c r="I569" s="6" t="s">
        <v>620</v>
      </c>
      <c r="J569" s="28" t="s">
        <v>620</v>
      </c>
      <c r="K569" s="224"/>
      <c r="L569" s="224"/>
      <c r="M569" s="28" t="s">
        <v>620</v>
      </c>
      <c r="N569" s="6" t="s">
        <v>5419</v>
      </c>
      <c r="O569" s="6" t="s">
        <v>620</v>
      </c>
      <c r="P569" s="224" t="s">
        <v>3885</v>
      </c>
      <c r="Q569" s="177" t="s">
        <v>620</v>
      </c>
      <c r="R569" s="28" t="s">
        <v>620</v>
      </c>
      <c r="S569" s="42" t="str">
        <f aca="false">IF(ISNUMBER($AF569),INDEX(IDX_SrcStat,$AF569),"—")</f>
        <v>—</v>
      </c>
      <c r="T569" s="42" t="str">
        <f aca="false">IF(ISNUMBER($AF569),INDEX(IDX_SrcGrade,$AF569),"—")</f>
        <v>—</v>
      </c>
      <c r="U569" s="28" t="s">
        <v>620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2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2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5420</v>
      </c>
      <c r="B570" s="224" t="s">
        <v>4951</v>
      </c>
      <c r="C570" s="28" t="s">
        <v>4942</v>
      </c>
      <c r="D570" s="28" t="s">
        <v>5421</v>
      </c>
      <c r="E570" s="6" t="s">
        <v>1902</v>
      </c>
      <c r="F570" s="224" t="s">
        <v>4747</v>
      </c>
      <c r="G570" s="224" t="s">
        <v>4636</v>
      </c>
      <c r="H570" s="28" t="s">
        <v>620</v>
      </c>
      <c r="I570" s="6" t="s">
        <v>620</v>
      </c>
      <c r="J570" s="28" t="s">
        <v>620</v>
      </c>
      <c r="K570" s="224"/>
      <c r="L570" s="224"/>
      <c r="M570" s="28" t="s">
        <v>620</v>
      </c>
      <c r="N570" s="6" t="s">
        <v>5422</v>
      </c>
      <c r="O570" s="6" t="s">
        <v>620</v>
      </c>
      <c r="P570" s="224" t="s">
        <v>3885</v>
      </c>
      <c r="Q570" s="31" t="n">
        <f aca="false">Sens_Rev!B17</f>
        <v>7</v>
      </c>
      <c r="R570" s="28" t="s">
        <v>620</v>
      </c>
      <c r="S570" s="42" t="str">
        <f aca="false">IF(ISNUMBER($AF570),INDEX(IDX_SrcStat,$AF570),"—")</f>
        <v>—</v>
      </c>
      <c r="T570" s="42" t="str">
        <f aca="false">IF(ISNUMBER($AF570),INDEX(IDX_SrcGrade,$AF570),"—")</f>
        <v>—</v>
      </c>
      <c r="U570" s="42" t="s">
        <v>3886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2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2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5423</v>
      </c>
      <c r="B571" s="224" t="s">
        <v>4951</v>
      </c>
      <c r="C571" s="28" t="s">
        <v>4942</v>
      </c>
      <c r="D571" s="28" t="s">
        <v>5424</v>
      </c>
      <c r="E571" s="19" t="s">
        <v>5425</v>
      </c>
      <c r="F571" s="224" t="s">
        <v>4747</v>
      </c>
      <c r="G571" s="224" t="s">
        <v>4636</v>
      </c>
      <c r="H571" s="28" t="s">
        <v>620</v>
      </c>
      <c r="I571" s="6" t="s">
        <v>620</v>
      </c>
      <c r="J571" s="28" t="s">
        <v>620</v>
      </c>
      <c r="K571" s="224"/>
      <c r="L571" s="224"/>
      <c r="M571" s="28" t="s">
        <v>620</v>
      </c>
      <c r="N571" s="6" t="s">
        <v>5426</v>
      </c>
      <c r="O571" s="6" t="s">
        <v>620</v>
      </c>
      <c r="P571" s="224" t="s">
        <v>3885</v>
      </c>
      <c r="Q571" s="177" t="s">
        <v>620</v>
      </c>
      <c r="R571" s="28" t="s">
        <v>620</v>
      </c>
      <c r="S571" s="42" t="str">
        <f aca="false">IF(ISNUMBER($AF571),INDEX(IDX_SrcStat,$AF571),"—")</f>
        <v>—</v>
      </c>
      <c r="T571" s="42" t="str">
        <f aca="false">IF(ISNUMBER($AF571),INDEX(IDX_SrcGrade,$AF571),"—")</f>
        <v>—</v>
      </c>
      <c r="U571" s="28" t="s">
        <v>620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2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2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5427</v>
      </c>
      <c r="B572" s="224" t="s">
        <v>4951</v>
      </c>
      <c r="C572" s="28" t="s">
        <v>5428</v>
      </c>
      <c r="D572" s="28" t="s">
        <v>5429</v>
      </c>
      <c r="E572" s="19" t="s">
        <v>98</v>
      </c>
      <c r="F572" s="224" t="s">
        <v>4747</v>
      </c>
      <c r="G572" s="224" t="s">
        <v>4636</v>
      </c>
      <c r="H572" s="28" t="s">
        <v>620</v>
      </c>
      <c r="I572" s="6" t="s">
        <v>620</v>
      </c>
      <c r="J572" s="28" t="s">
        <v>620</v>
      </c>
      <c r="K572" s="224"/>
      <c r="L572" s="224"/>
      <c r="M572" s="28" t="s">
        <v>620</v>
      </c>
      <c r="N572" s="19" t="s">
        <v>5430</v>
      </c>
      <c r="O572" s="6" t="s">
        <v>620</v>
      </c>
      <c r="P572" s="28" t="s">
        <v>620</v>
      </c>
      <c r="Q572" s="177" t="s">
        <v>620</v>
      </c>
      <c r="R572" s="28" t="s">
        <v>620</v>
      </c>
      <c r="S572" s="42" t="str">
        <f aca="false">IF(ISNUMBER($AF572),INDEX(IDX_SrcStat,$AF572),"—")</f>
        <v>—</v>
      </c>
      <c r="T572" s="42" t="str">
        <f aca="false">IF(ISNUMBER($AF572),INDEX(IDX_SrcGrade,$AF572),"—")</f>
        <v>—</v>
      </c>
      <c r="U572" s="28" t="s">
        <v>620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2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2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5431</v>
      </c>
      <c r="B573" s="224" t="s">
        <v>4951</v>
      </c>
      <c r="C573" s="28" t="s">
        <v>5428</v>
      </c>
      <c r="D573" s="28" t="s">
        <v>5432</v>
      </c>
      <c r="E573" s="6" t="s">
        <v>895</v>
      </c>
      <c r="F573" s="224" t="s">
        <v>4747</v>
      </c>
      <c r="G573" s="224" t="s">
        <v>4636</v>
      </c>
      <c r="H573" s="28" t="s">
        <v>620</v>
      </c>
      <c r="I573" s="6" t="s">
        <v>620</v>
      </c>
      <c r="J573" s="28" t="s">
        <v>620</v>
      </c>
      <c r="K573" s="224"/>
      <c r="L573" s="224"/>
      <c r="M573" s="28" t="s">
        <v>620</v>
      </c>
      <c r="N573" s="6" t="s">
        <v>5433</v>
      </c>
      <c r="O573" s="6" t="s">
        <v>620</v>
      </c>
      <c r="P573" s="224" t="s">
        <v>3885</v>
      </c>
      <c r="Q573" s="31" t="n">
        <f aca="false">Sensitivity!N37</f>
        <v>7</v>
      </c>
      <c r="R573" s="28" t="s">
        <v>620</v>
      </c>
      <c r="S573" s="42" t="str">
        <f aca="false">IF(ISNUMBER($AF573),INDEX(IDX_SrcStat,$AF573),"—")</f>
        <v>—</v>
      </c>
      <c r="T573" s="42" t="str">
        <f aca="false">IF(ISNUMBER($AF573),INDEX(IDX_SrcGrade,$AF573),"—")</f>
        <v>—</v>
      </c>
      <c r="U573" s="42" t="s">
        <v>3886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2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2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5434</v>
      </c>
      <c r="B574" s="224" t="s">
        <v>5435</v>
      </c>
      <c r="C574" s="28" t="s">
        <v>4367</v>
      </c>
      <c r="D574" s="28" t="s">
        <v>5436</v>
      </c>
      <c r="E574" s="19" t="s">
        <v>5437</v>
      </c>
      <c r="F574" s="28" t="s">
        <v>100</v>
      </c>
      <c r="G574" s="224" t="s">
        <v>4636</v>
      </c>
      <c r="H574" s="28" t="s">
        <v>620</v>
      </c>
      <c r="I574" s="6" t="s">
        <v>620</v>
      </c>
      <c r="J574" s="28" t="s">
        <v>620</v>
      </c>
      <c r="K574" s="224" t="n">
        <v>4</v>
      </c>
      <c r="L574" s="224" t="n">
        <v>130</v>
      </c>
      <c r="M574" s="28" t="s">
        <v>5438</v>
      </c>
      <c r="N574" s="6" t="s">
        <v>5439</v>
      </c>
      <c r="O574" s="6" t="s">
        <v>620</v>
      </c>
      <c r="P574" s="28" t="s">
        <v>620</v>
      </c>
      <c r="Q574" s="177" t="s">
        <v>620</v>
      </c>
      <c r="R574" s="28" t="s">
        <v>620</v>
      </c>
      <c r="S574" s="42" t="str">
        <f aca="false">IF(ISNUMBER($AF574),INDEX(IDX_SrcStat,$AF574),"—")</f>
        <v>—</v>
      </c>
      <c r="T574" s="42" t="str">
        <f aca="false">IF(ISNUMBER($AF574),INDEX(IDX_SrcGrade,$AF574),"—")</f>
        <v>—</v>
      </c>
      <c r="U574" s="28" t="s">
        <v>620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2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2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5440</v>
      </c>
      <c r="B575" s="224" t="s">
        <v>5435</v>
      </c>
      <c r="C575" s="28" t="s">
        <v>4367</v>
      </c>
      <c r="D575" s="28" t="s">
        <v>4011</v>
      </c>
      <c r="E575" s="6" t="s">
        <v>323</v>
      </c>
      <c r="F575" s="28" t="s">
        <v>104</v>
      </c>
      <c r="G575" s="224" t="s">
        <v>3882</v>
      </c>
      <c r="H575" s="28" t="s">
        <v>4776</v>
      </c>
      <c r="I575" s="19" t="s">
        <v>5441</v>
      </c>
      <c r="J575" s="28" t="s">
        <v>620</v>
      </c>
      <c r="K575" s="224"/>
      <c r="L575" s="224"/>
      <c r="M575" s="224" t="s">
        <v>3778</v>
      </c>
      <c r="N575" s="6" t="s">
        <v>5442</v>
      </c>
      <c r="O575" s="6" t="s">
        <v>620</v>
      </c>
      <c r="P575" s="224" t="s">
        <v>1150</v>
      </c>
      <c r="Q575" s="47" t="n">
        <f aca="false">Arch!E35</f>
        <v>576</v>
      </c>
      <c r="R575" s="177" t="n">
        <f aca="false">SRC_MOD_028</f>
        <v>576</v>
      </c>
      <c r="S575" s="42" t="str">
        <f aca="false">IF(ISNUMBER($AF575),INDEX(IDX_SrcStat,$AF575),"—")</f>
        <v>Active</v>
      </c>
      <c r="T575" s="42" t="n">
        <f aca="false">IF(ISNUMBER($AF575),INDEX(IDX_SrcGrade,$AF575),"—")</f>
        <v>3</v>
      </c>
      <c r="U575" s="42" t="s">
        <v>3886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2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2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5443</v>
      </c>
      <c r="B576" s="224" t="s">
        <v>5435</v>
      </c>
      <c r="C576" s="28" t="s">
        <v>4367</v>
      </c>
      <c r="D576" s="28" t="s">
        <v>5444</v>
      </c>
      <c r="E576" s="6" t="s">
        <v>326</v>
      </c>
      <c r="F576" s="28" t="s">
        <v>100</v>
      </c>
      <c r="G576" s="224" t="s">
        <v>3882</v>
      </c>
      <c r="H576" s="28" t="s">
        <v>620</v>
      </c>
      <c r="I576" s="6" t="s">
        <v>620</v>
      </c>
      <c r="J576" s="28" t="s">
        <v>620</v>
      </c>
      <c r="K576" s="226" t="n">
        <v>0.15</v>
      </c>
      <c r="L576" s="226" t="n">
        <v>0.5</v>
      </c>
      <c r="M576" s="28" t="s">
        <v>5445</v>
      </c>
      <c r="N576" s="6" t="s">
        <v>5446</v>
      </c>
      <c r="O576" s="6" t="s">
        <v>620</v>
      </c>
      <c r="P576" s="224" t="s">
        <v>3885</v>
      </c>
      <c r="Q576" s="187" t="n">
        <f aca="false">Arch!E36</f>
        <v>0.26</v>
      </c>
      <c r="R576" s="28" t="s">
        <v>620</v>
      </c>
      <c r="S576" s="42" t="str">
        <f aca="false">IF(ISNUMBER($AF576),INDEX(IDX_SrcStat,$AF576),"—")</f>
        <v>—</v>
      </c>
      <c r="T576" s="42" t="str">
        <f aca="false">IF(ISNUMBER($AF576),INDEX(IDX_SrcGrade,$AF576),"—")</f>
        <v>—</v>
      </c>
      <c r="U576" s="42" t="s">
        <v>3886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2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2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5447</v>
      </c>
      <c r="B577" s="224" t="s">
        <v>5435</v>
      </c>
      <c r="C577" s="28" t="s">
        <v>4367</v>
      </c>
      <c r="D577" s="28" t="s">
        <v>5448</v>
      </c>
      <c r="E577" s="6" t="s">
        <v>328</v>
      </c>
      <c r="F577" s="28" t="s">
        <v>100</v>
      </c>
      <c r="G577" s="224" t="s">
        <v>3882</v>
      </c>
      <c r="H577" s="28" t="s">
        <v>620</v>
      </c>
      <c r="I577" s="6" t="s">
        <v>620</v>
      </c>
      <c r="J577" s="28" t="s">
        <v>620</v>
      </c>
      <c r="K577" s="224"/>
      <c r="L577" s="224"/>
      <c r="M577" s="224" t="s">
        <v>3778</v>
      </c>
      <c r="N577" s="6" t="s">
        <v>5449</v>
      </c>
      <c r="O577" s="6" t="s">
        <v>620</v>
      </c>
      <c r="P577" s="224" t="s">
        <v>3885</v>
      </c>
      <c r="Q577" s="47" t="n">
        <f aca="false">Arch!E37</f>
        <v>8</v>
      </c>
      <c r="R577" s="28" t="s">
        <v>620</v>
      </c>
      <c r="S577" s="42" t="str">
        <f aca="false">IF(ISNUMBER($AF577),INDEX(IDX_SrcStat,$AF577),"—")</f>
        <v>—</v>
      </c>
      <c r="T577" s="42" t="str">
        <f aca="false">IF(ISNUMBER($AF577),INDEX(IDX_SrcGrade,$AF577),"—")</f>
        <v>—</v>
      </c>
      <c r="U577" s="42" t="s">
        <v>3886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2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2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5450</v>
      </c>
      <c r="B578" s="224" t="s">
        <v>5435</v>
      </c>
      <c r="C578" s="28" t="s">
        <v>4367</v>
      </c>
      <c r="D578" s="28" t="s">
        <v>5035</v>
      </c>
      <c r="E578" s="6" t="s">
        <v>331</v>
      </c>
      <c r="F578" s="224" t="s">
        <v>332</v>
      </c>
      <c r="G578" s="224" t="s">
        <v>3882</v>
      </c>
      <c r="H578" s="28" t="s">
        <v>4268</v>
      </c>
      <c r="I578" s="19" t="s">
        <v>3917</v>
      </c>
      <c r="J578" s="28" t="s">
        <v>620</v>
      </c>
      <c r="K578" s="224"/>
      <c r="L578" s="224"/>
      <c r="M578" s="28" t="s">
        <v>620</v>
      </c>
      <c r="N578" s="6" t="s">
        <v>5451</v>
      </c>
      <c r="O578" s="6" t="s">
        <v>620</v>
      </c>
      <c r="P578" s="224" t="s">
        <v>1150</v>
      </c>
      <c r="Q578" s="47" t="n">
        <f aca="false">Arch!C38</f>
        <v>1</v>
      </c>
      <c r="R578" s="177" t="n">
        <f aca="false">SRC_HW_055</f>
        <v>1</v>
      </c>
      <c r="S578" s="42" t="str">
        <f aca="false">IF(ISNUMBER($AF578),INDEX(IDX_SrcStat,$AF578),"—")</f>
        <v>Active</v>
      </c>
      <c r="T578" s="42" t="n">
        <f aca="false">IF(ISNUMBER($AF578),INDEX(IDX_SrcGrade,$AF578),"—")</f>
        <v>3</v>
      </c>
      <c r="U578" s="42" t="s">
        <v>3919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2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2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5452</v>
      </c>
      <c r="B579" s="224" t="s">
        <v>5453</v>
      </c>
      <c r="C579" s="28" t="s">
        <v>5454</v>
      </c>
      <c r="D579" s="28" t="s">
        <v>4541</v>
      </c>
      <c r="E579" s="19" t="s">
        <v>2156</v>
      </c>
      <c r="F579" s="28" t="s">
        <v>92</v>
      </c>
      <c r="G579" s="224" t="s">
        <v>3882</v>
      </c>
      <c r="H579" s="28" t="s">
        <v>620</v>
      </c>
      <c r="I579" s="6" t="s">
        <v>620</v>
      </c>
      <c r="J579" s="28" t="s">
        <v>5455</v>
      </c>
      <c r="K579" s="224"/>
      <c r="L579" s="224"/>
      <c r="M579" s="224" t="s">
        <v>3778</v>
      </c>
      <c r="N579" s="6" t="s">
        <v>5456</v>
      </c>
      <c r="O579" s="6" t="s">
        <v>620</v>
      </c>
      <c r="P579" s="224" t="s">
        <v>3885</v>
      </c>
      <c r="Q579" s="177" t="str">
        <f aca="false">Alloc_In!C5</f>
        <v>OpenAI</v>
      </c>
      <c r="R579" s="28" t="s">
        <v>620</v>
      </c>
      <c r="S579" s="42" t="str">
        <f aca="false">IF(ISNUMBER($AF579),INDEX(IDX_SrcStat,$AF579),"—")</f>
        <v>—</v>
      </c>
      <c r="T579" s="42" t="str">
        <f aca="false">IF(ISNUMBER($AF579),INDEX(IDX_SrcGrade,$AF579),"—")</f>
        <v>—</v>
      </c>
      <c r="U579" s="42" t="s">
        <v>3886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2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2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5457</v>
      </c>
      <c r="B580" s="224" t="s">
        <v>5453</v>
      </c>
      <c r="C580" s="28" t="s">
        <v>5454</v>
      </c>
      <c r="D580" s="28" t="s">
        <v>4045</v>
      </c>
      <c r="E580" s="19" t="s">
        <v>5458</v>
      </c>
      <c r="F580" s="28" t="s">
        <v>100</v>
      </c>
      <c r="G580" s="224" t="s">
        <v>85</v>
      </c>
      <c r="H580" s="28" t="s">
        <v>620</v>
      </c>
      <c r="I580" s="6" t="s">
        <v>620</v>
      </c>
      <c r="J580" s="28" t="s">
        <v>620</v>
      </c>
      <c r="K580" s="192" t="n">
        <f aca="false">Alloc_In!D6</f>
        <v>1</v>
      </c>
      <c r="L580" s="192" t="n">
        <f aca="false">Alloc_In!E6</f>
        <v>2</v>
      </c>
      <c r="M580" s="28" t="s">
        <v>620</v>
      </c>
      <c r="N580" s="6" t="s">
        <v>5459</v>
      </c>
      <c r="O580" s="6" t="s">
        <v>620</v>
      </c>
      <c r="P580" s="224" t="s">
        <v>1151</v>
      </c>
      <c r="Q580" s="192" t="n">
        <f aca="false">Alloc_In!C6</f>
        <v>1</v>
      </c>
      <c r="R580" s="28" t="s">
        <v>620</v>
      </c>
      <c r="S580" s="42" t="str">
        <f aca="false">IF(ISNUMBER($AF580),INDEX(IDX_SrcStat,$AF580),"—")</f>
        <v>—</v>
      </c>
      <c r="T580" s="42" t="str">
        <f aca="false">IF(ISNUMBER($AF580),INDEX(IDX_SrcGrade,$AF580),"—")</f>
        <v>—</v>
      </c>
      <c r="U580" s="42" t="s">
        <v>3886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2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2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5460</v>
      </c>
      <c r="B581" s="224" t="s">
        <v>5453</v>
      </c>
      <c r="C581" s="28" t="s">
        <v>5454</v>
      </c>
      <c r="D581" s="28" t="s">
        <v>5461</v>
      </c>
      <c r="E581" s="19" t="s">
        <v>5458</v>
      </c>
      <c r="F581" s="28" t="s">
        <v>100</v>
      </c>
      <c r="G581" s="224" t="s">
        <v>4958</v>
      </c>
      <c r="H581" s="28" t="s">
        <v>620</v>
      </c>
      <c r="I581" s="6" t="s">
        <v>620</v>
      </c>
      <c r="J581" s="28" t="s">
        <v>620</v>
      </c>
      <c r="K581" s="224"/>
      <c r="L581" s="224"/>
      <c r="M581" s="28" t="s">
        <v>5462</v>
      </c>
      <c r="N581" s="6" t="s">
        <v>5463</v>
      </c>
      <c r="O581" s="6" t="s">
        <v>620</v>
      </c>
      <c r="P581" s="28" t="s">
        <v>620</v>
      </c>
      <c r="Q581" s="177" t="s">
        <v>620</v>
      </c>
      <c r="R581" s="28" t="s">
        <v>620</v>
      </c>
      <c r="S581" s="42" t="str">
        <f aca="false">IF(ISNUMBER($AF581),INDEX(IDX_SrcStat,$AF581),"—")</f>
        <v>—</v>
      </c>
      <c r="T581" s="42" t="str">
        <f aca="false">IF(ISNUMBER($AF581),INDEX(IDX_SrcGrade,$AF581),"—")</f>
        <v>—</v>
      </c>
      <c r="U581" s="28" t="s">
        <v>620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2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2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5464</v>
      </c>
      <c r="B582" s="224" t="s">
        <v>5453</v>
      </c>
      <c r="C582" s="28" t="s">
        <v>5454</v>
      </c>
      <c r="D582" s="28" t="s">
        <v>4372</v>
      </c>
      <c r="E582" s="19" t="s">
        <v>5465</v>
      </c>
      <c r="F582" s="28" t="s">
        <v>100</v>
      </c>
      <c r="G582" s="224" t="s">
        <v>85</v>
      </c>
      <c r="H582" s="28" t="s">
        <v>620</v>
      </c>
      <c r="I582" s="6" t="s">
        <v>620</v>
      </c>
      <c r="J582" s="28" t="s">
        <v>620</v>
      </c>
      <c r="K582" s="192" t="n">
        <f aca="false">Alloc_In!D7</f>
        <v>0</v>
      </c>
      <c r="L582" s="192" t="n">
        <f aca="false">Alloc_In!E7</f>
        <v>6</v>
      </c>
      <c r="M582" s="28" t="s">
        <v>5466</v>
      </c>
      <c r="N582" s="6" t="s">
        <v>5467</v>
      </c>
      <c r="O582" s="6" t="s">
        <v>620</v>
      </c>
      <c r="P582" s="224" t="s">
        <v>1151</v>
      </c>
      <c r="Q582" s="192" t="n">
        <f aca="false">Alloc_In!C7</f>
        <v>2</v>
      </c>
      <c r="R582" s="28" t="s">
        <v>620</v>
      </c>
      <c r="S582" s="42" t="str">
        <f aca="false">IF(ISNUMBER($AF582),INDEX(IDX_SrcStat,$AF582),"—")</f>
        <v>—</v>
      </c>
      <c r="T582" s="42" t="str">
        <f aca="false">IF(ISNUMBER($AF582),INDEX(IDX_SrcGrade,$AF582),"—")</f>
        <v>—</v>
      </c>
      <c r="U582" s="42" t="s">
        <v>3886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2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2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5468</v>
      </c>
      <c r="B583" s="224" t="s">
        <v>5453</v>
      </c>
      <c r="C583" s="28" t="s">
        <v>5454</v>
      </c>
      <c r="D583" s="28" t="s">
        <v>5469</v>
      </c>
      <c r="E583" s="19" t="s">
        <v>5465</v>
      </c>
      <c r="F583" s="28" t="s">
        <v>100</v>
      </c>
      <c r="G583" s="224" t="s">
        <v>4958</v>
      </c>
      <c r="H583" s="28" t="s">
        <v>620</v>
      </c>
      <c r="I583" s="6" t="s">
        <v>620</v>
      </c>
      <c r="J583" s="28" t="s">
        <v>620</v>
      </c>
      <c r="K583" s="224"/>
      <c r="L583" s="224"/>
      <c r="M583" s="28" t="s">
        <v>5470</v>
      </c>
      <c r="N583" s="6" t="s">
        <v>5471</v>
      </c>
      <c r="O583" s="6" t="s">
        <v>620</v>
      </c>
      <c r="P583" s="28" t="s">
        <v>620</v>
      </c>
      <c r="Q583" s="177" t="s">
        <v>620</v>
      </c>
      <c r="R583" s="28" t="s">
        <v>620</v>
      </c>
      <c r="S583" s="42" t="str">
        <f aca="false">IF(ISNUMBER($AF583),INDEX(IDX_SrcStat,$AF583),"—")</f>
        <v>—</v>
      </c>
      <c r="T583" s="42" t="str">
        <f aca="false">IF(ISNUMBER($AF583),INDEX(IDX_SrcGrade,$AF583),"—")</f>
        <v>—</v>
      </c>
      <c r="U583" s="28" t="s">
        <v>620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2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2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5472</v>
      </c>
      <c r="B584" s="224" t="s">
        <v>5453</v>
      </c>
      <c r="C584" s="28" t="s">
        <v>5454</v>
      </c>
      <c r="D584" s="28" t="s">
        <v>4058</v>
      </c>
      <c r="E584" s="19" t="s">
        <v>5473</v>
      </c>
      <c r="F584" s="28" t="s">
        <v>100</v>
      </c>
      <c r="G584" s="224" t="s">
        <v>85</v>
      </c>
      <c r="H584" s="28" t="s">
        <v>620</v>
      </c>
      <c r="I584" s="6" t="s">
        <v>620</v>
      </c>
      <c r="J584" s="28" t="s">
        <v>620</v>
      </c>
      <c r="K584" s="192" t="n">
        <f aca="false">Alloc_In!D8</f>
        <v>0.5</v>
      </c>
      <c r="L584" s="192" t="n">
        <f aca="false">Alloc_In!E8</f>
        <v>7</v>
      </c>
      <c r="M584" s="28" t="s">
        <v>620</v>
      </c>
      <c r="N584" s="6" t="s">
        <v>5474</v>
      </c>
      <c r="O584" s="6" t="s">
        <v>620</v>
      </c>
      <c r="P584" s="224" t="s">
        <v>1151</v>
      </c>
      <c r="Q584" s="192" t="n">
        <f aca="false">Alloc_In!C8</f>
        <v>1</v>
      </c>
      <c r="R584" s="28" t="s">
        <v>620</v>
      </c>
      <c r="S584" s="42" t="str">
        <f aca="false">IF(ISNUMBER($AF584),INDEX(IDX_SrcStat,$AF584),"—")</f>
        <v>—</v>
      </c>
      <c r="T584" s="42" t="str">
        <f aca="false">IF(ISNUMBER($AF584),INDEX(IDX_SrcGrade,$AF584),"—")</f>
        <v>—</v>
      </c>
      <c r="U584" s="42" t="s">
        <v>3886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2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2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5475</v>
      </c>
      <c r="B585" s="224" t="s">
        <v>5453</v>
      </c>
      <c r="C585" s="28" t="s">
        <v>5454</v>
      </c>
      <c r="D585" s="28" t="s">
        <v>5476</v>
      </c>
      <c r="E585" s="19" t="s">
        <v>5473</v>
      </c>
      <c r="F585" s="28" t="s">
        <v>100</v>
      </c>
      <c r="G585" s="224" t="s">
        <v>4958</v>
      </c>
      <c r="H585" s="28" t="s">
        <v>620</v>
      </c>
      <c r="I585" s="6" t="s">
        <v>620</v>
      </c>
      <c r="J585" s="28" t="s">
        <v>620</v>
      </c>
      <c r="K585" s="224"/>
      <c r="L585" s="224"/>
      <c r="M585" s="28" t="s">
        <v>5477</v>
      </c>
      <c r="N585" s="6" t="s">
        <v>5478</v>
      </c>
      <c r="O585" s="6" t="s">
        <v>620</v>
      </c>
      <c r="P585" s="28" t="s">
        <v>620</v>
      </c>
      <c r="Q585" s="177" t="s">
        <v>620</v>
      </c>
      <c r="R585" s="28" t="s">
        <v>620</v>
      </c>
      <c r="S585" s="42" t="str">
        <f aca="false">IF(ISNUMBER($AF585),INDEX(IDX_SrcStat,$AF585),"—")</f>
        <v>—</v>
      </c>
      <c r="T585" s="42" t="str">
        <f aca="false">IF(ISNUMBER($AF585),INDEX(IDX_SrcGrade,$AF585),"—")</f>
        <v>—</v>
      </c>
      <c r="U585" s="28" t="s">
        <v>620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2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2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5479</v>
      </c>
      <c r="B586" s="224" t="s">
        <v>5453</v>
      </c>
      <c r="C586" s="28" t="s">
        <v>5454</v>
      </c>
      <c r="D586" s="28" t="s">
        <v>4144</v>
      </c>
      <c r="E586" s="19" t="s">
        <v>5480</v>
      </c>
      <c r="F586" s="28" t="s">
        <v>100</v>
      </c>
      <c r="G586" s="224" t="s">
        <v>85</v>
      </c>
      <c r="H586" s="28" t="s">
        <v>620</v>
      </c>
      <c r="I586" s="6" t="s">
        <v>620</v>
      </c>
      <c r="J586" s="28" t="s">
        <v>620</v>
      </c>
      <c r="K586" s="187" t="n">
        <f aca="false">Alloc_In!D13</f>
        <v>0</v>
      </c>
      <c r="L586" s="187" t="n">
        <f aca="false">Alloc_In!E13</f>
        <v>1</v>
      </c>
      <c r="M586" s="28" t="s">
        <v>620</v>
      </c>
      <c r="N586" s="6" t="s">
        <v>5481</v>
      </c>
      <c r="O586" s="6" t="s">
        <v>620</v>
      </c>
      <c r="P586" s="224" t="s">
        <v>3885</v>
      </c>
      <c r="Q586" s="187" t="n">
        <f aca="false">Alloc_In!C13</f>
        <v>0</v>
      </c>
      <c r="R586" s="28" t="s">
        <v>620</v>
      </c>
      <c r="S586" s="42" t="str">
        <f aca="false">IF(ISNUMBER($AF586),INDEX(IDX_SrcStat,$AF586),"—")</f>
        <v>—</v>
      </c>
      <c r="T586" s="42" t="str">
        <f aca="false">IF(ISNUMBER($AF586),INDEX(IDX_SrcGrade,$AF586),"—")</f>
        <v>—</v>
      </c>
      <c r="U586" s="42" t="s">
        <v>3886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2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2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5482</v>
      </c>
      <c r="B587" s="224" t="s">
        <v>5453</v>
      </c>
      <c r="C587" s="28" t="s">
        <v>5454</v>
      </c>
      <c r="D587" s="28" t="s">
        <v>4964</v>
      </c>
      <c r="E587" s="19" t="s">
        <v>5480</v>
      </c>
      <c r="F587" s="28" t="s">
        <v>100</v>
      </c>
      <c r="G587" s="224" t="s">
        <v>4958</v>
      </c>
      <c r="H587" s="28" t="s">
        <v>620</v>
      </c>
      <c r="I587" s="6" t="s">
        <v>620</v>
      </c>
      <c r="J587" s="28" t="s">
        <v>620</v>
      </c>
      <c r="K587" s="224"/>
      <c r="L587" s="224"/>
      <c r="M587" s="28" t="s">
        <v>4965</v>
      </c>
      <c r="N587" s="6" t="s">
        <v>5481</v>
      </c>
      <c r="O587" s="6" t="s">
        <v>620</v>
      </c>
      <c r="P587" s="28" t="s">
        <v>620</v>
      </c>
      <c r="Q587" s="177" t="s">
        <v>620</v>
      </c>
      <c r="R587" s="28" t="s">
        <v>620</v>
      </c>
      <c r="S587" s="42" t="str">
        <f aca="false">IF(ISNUMBER($AF587),INDEX(IDX_SrcStat,$AF587),"—")</f>
        <v>—</v>
      </c>
      <c r="T587" s="42" t="str">
        <f aca="false">IF(ISNUMBER($AF587),INDEX(IDX_SrcGrade,$AF587),"—")</f>
        <v>—</v>
      </c>
      <c r="U587" s="28" t="s">
        <v>620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2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2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5483</v>
      </c>
      <c r="B588" s="224" t="s">
        <v>5453</v>
      </c>
      <c r="C588" s="28" t="s">
        <v>5454</v>
      </c>
      <c r="D588" s="28" t="s">
        <v>4393</v>
      </c>
      <c r="E588" s="6" t="s">
        <v>2176</v>
      </c>
      <c r="F588" s="28" t="s">
        <v>100</v>
      </c>
      <c r="G588" s="224" t="s">
        <v>85</v>
      </c>
      <c r="H588" s="28" t="s">
        <v>5484</v>
      </c>
      <c r="I588" s="19" t="s">
        <v>5485</v>
      </c>
      <c r="J588" s="28" t="s">
        <v>620</v>
      </c>
      <c r="K588" s="192" t="n">
        <f aca="false">Alloc_In!D14</f>
        <v>0.6</v>
      </c>
      <c r="L588" s="192" t="n">
        <f aca="false">Alloc_In!E14</f>
        <v>0.9</v>
      </c>
      <c r="M588" s="28" t="s">
        <v>620</v>
      </c>
      <c r="N588" s="6" t="s">
        <v>5486</v>
      </c>
      <c r="O588" s="6" t="s">
        <v>620</v>
      </c>
      <c r="P588" s="224" t="s">
        <v>3941</v>
      </c>
      <c r="Q588" s="192" t="n">
        <f aca="false">Alloc_In!C14</f>
        <v>0.75</v>
      </c>
      <c r="R588" s="177" t="n">
        <f aca="false">SRC_DEM_010</f>
        <v>6</v>
      </c>
      <c r="S588" s="42" t="str">
        <f aca="false">IF(ISNUMBER($AF588),INDEX(IDX_SrcStat,$AF588),"—")</f>
        <v>Active</v>
      </c>
      <c r="T588" s="42" t="n">
        <f aca="false">IF(ISNUMBER($AF588),INDEX(IDX_SrcGrade,$AF588),"—")</f>
        <v>2</v>
      </c>
      <c r="U588" s="42" t="s">
        <v>3886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2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2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5487</v>
      </c>
      <c r="B589" s="224" t="s">
        <v>5453</v>
      </c>
      <c r="C589" s="28" t="s">
        <v>5454</v>
      </c>
      <c r="D589" s="28" t="s">
        <v>4970</v>
      </c>
      <c r="E589" s="6" t="s">
        <v>2176</v>
      </c>
      <c r="F589" s="28" t="s">
        <v>100</v>
      </c>
      <c r="G589" s="224" t="s">
        <v>4958</v>
      </c>
      <c r="H589" s="28" t="s">
        <v>620</v>
      </c>
      <c r="I589" s="6" t="s">
        <v>620</v>
      </c>
      <c r="J589" s="28" t="s">
        <v>620</v>
      </c>
      <c r="K589" s="224"/>
      <c r="L589" s="224"/>
      <c r="M589" s="28" t="s">
        <v>4971</v>
      </c>
      <c r="N589" s="6" t="s">
        <v>5488</v>
      </c>
      <c r="O589" s="6" t="s">
        <v>620</v>
      </c>
      <c r="P589" s="28" t="s">
        <v>620</v>
      </c>
      <c r="Q589" s="177" t="s">
        <v>620</v>
      </c>
      <c r="R589" s="28" t="s">
        <v>620</v>
      </c>
      <c r="S589" s="42" t="str">
        <f aca="false">IF(ISNUMBER($AF589),INDEX(IDX_SrcStat,$AF589),"—")</f>
        <v>—</v>
      </c>
      <c r="T589" s="42" t="str">
        <f aca="false">IF(ISNUMBER($AF589),INDEX(IDX_SrcGrade,$AF589),"—")</f>
        <v>—</v>
      </c>
      <c r="U589" s="28" t="s">
        <v>620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2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2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5489</v>
      </c>
      <c r="B590" s="224" t="s">
        <v>5453</v>
      </c>
      <c r="C590" s="28" t="s">
        <v>5454</v>
      </c>
      <c r="D590" s="28" t="s">
        <v>4397</v>
      </c>
      <c r="E590" s="19" t="s">
        <v>5490</v>
      </c>
      <c r="F590" s="28" t="s">
        <v>100</v>
      </c>
      <c r="G590" s="224" t="s">
        <v>85</v>
      </c>
      <c r="H590" s="28" t="s">
        <v>5491</v>
      </c>
      <c r="I590" s="19" t="s">
        <v>5492</v>
      </c>
      <c r="J590" s="28" t="s">
        <v>620</v>
      </c>
      <c r="K590" s="47" t="n">
        <f aca="false">Alloc_In!D15</f>
        <v>2000</v>
      </c>
      <c r="L590" s="47" t="n">
        <f aca="false">Alloc_In!E15</f>
        <v>11000</v>
      </c>
      <c r="M590" s="28" t="s">
        <v>5493</v>
      </c>
      <c r="N590" s="6" t="s">
        <v>5494</v>
      </c>
      <c r="O590" s="6" t="s">
        <v>620</v>
      </c>
      <c r="P590" s="224" t="s">
        <v>1151</v>
      </c>
      <c r="Q590" s="47" t="n">
        <f aca="false">Alloc_In!C15</f>
        <v>4000</v>
      </c>
      <c r="R590" s="177" t="n">
        <f aca="false">SRC_DEM_012</f>
        <v>2.5</v>
      </c>
      <c r="S590" s="42" t="str">
        <f aca="false">IF(ISNUMBER($AF590),INDEX(IDX_SrcStat,$AF590),"—")</f>
        <v>Active</v>
      </c>
      <c r="T590" s="42" t="n">
        <f aca="false">IF(ISNUMBER($AF590),INDEX(IDX_SrcGrade,$AF590),"—")</f>
        <v>2</v>
      </c>
      <c r="U590" s="42" t="s">
        <v>3886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2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2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5495</v>
      </c>
      <c r="B591" s="224" t="s">
        <v>5453</v>
      </c>
      <c r="C591" s="28" t="s">
        <v>5454</v>
      </c>
      <c r="D591" s="28" t="s">
        <v>4976</v>
      </c>
      <c r="E591" s="19" t="s">
        <v>5490</v>
      </c>
      <c r="F591" s="28" t="s">
        <v>100</v>
      </c>
      <c r="G591" s="224" t="s">
        <v>4958</v>
      </c>
      <c r="H591" s="28" t="s">
        <v>620</v>
      </c>
      <c r="I591" s="6" t="s">
        <v>620</v>
      </c>
      <c r="J591" s="28" t="s">
        <v>620</v>
      </c>
      <c r="K591" s="224"/>
      <c r="L591" s="224"/>
      <c r="M591" s="28" t="s">
        <v>4977</v>
      </c>
      <c r="N591" s="6" t="s">
        <v>5496</v>
      </c>
      <c r="O591" s="6" t="s">
        <v>620</v>
      </c>
      <c r="P591" s="28" t="s">
        <v>620</v>
      </c>
      <c r="Q591" s="177" t="s">
        <v>620</v>
      </c>
      <c r="R591" s="28" t="s">
        <v>620</v>
      </c>
      <c r="S591" s="42" t="str">
        <f aca="false">IF(ISNUMBER($AF591),INDEX(IDX_SrcStat,$AF591),"—")</f>
        <v>—</v>
      </c>
      <c r="T591" s="42" t="str">
        <f aca="false">IF(ISNUMBER($AF591),INDEX(IDX_SrcGrade,$AF591),"—")</f>
        <v>—</v>
      </c>
      <c r="U591" s="28" t="s">
        <v>620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2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2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5497</v>
      </c>
      <c r="B592" s="224" t="s">
        <v>5453</v>
      </c>
      <c r="C592" s="28" t="s">
        <v>5454</v>
      </c>
      <c r="D592" s="28" t="s">
        <v>4402</v>
      </c>
      <c r="E592" s="6" t="s">
        <v>2180</v>
      </c>
      <c r="F592" s="28" t="s">
        <v>100</v>
      </c>
      <c r="G592" s="224" t="s">
        <v>85</v>
      </c>
      <c r="H592" s="28" t="s">
        <v>3027</v>
      </c>
      <c r="I592" s="19" t="s">
        <v>5498</v>
      </c>
      <c r="J592" s="28" t="s">
        <v>620</v>
      </c>
      <c r="K592" s="187" t="n">
        <f aca="false">Alloc_In!D16</f>
        <v>0.4</v>
      </c>
      <c r="L592" s="187" t="n">
        <f aca="false">Alloc_In!E16</f>
        <v>0.8</v>
      </c>
      <c r="M592" s="28" t="s">
        <v>620</v>
      </c>
      <c r="N592" s="19" t="s">
        <v>5499</v>
      </c>
      <c r="O592" s="6" t="s">
        <v>620</v>
      </c>
      <c r="P592" s="224" t="s">
        <v>1150</v>
      </c>
      <c r="Q592" s="187" t="n">
        <f aca="false">Alloc_In!C16</f>
        <v>0.6</v>
      </c>
      <c r="R592" s="177" t="n">
        <f aca="false">SRC_DEM_005</f>
        <v>3.9</v>
      </c>
      <c r="S592" s="42" t="str">
        <f aca="false">IF(ISNUMBER($AF592),INDEX(IDX_SrcStat,$AF592),"—")</f>
        <v>Active</v>
      </c>
      <c r="T592" s="42" t="n">
        <f aca="false">IF(ISNUMBER($AF592),INDEX(IDX_SrcGrade,$AF592),"—")</f>
        <v>2</v>
      </c>
      <c r="U592" s="42" t="s">
        <v>3886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2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2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5500</v>
      </c>
      <c r="B593" s="224" t="s">
        <v>5453</v>
      </c>
      <c r="C593" s="28" t="s">
        <v>5454</v>
      </c>
      <c r="D593" s="28" t="s">
        <v>5501</v>
      </c>
      <c r="E593" s="6" t="s">
        <v>2180</v>
      </c>
      <c r="F593" s="28" t="s">
        <v>100</v>
      </c>
      <c r="G593" s="224" t="s">
        <v>4958</v>
      </c>
      <c r="H593" s="28" t="s">
        <v>620</v>
      </c>
      <c r="I593" s="6" t="s">
        <v>620</v>
      </c>
      <c r="J593" s="28" t="s">
        <v>620</v>
      </c>
      <c r="K593" s="224"/>
      <c r="L593" s="224"/>
      <c r="M593" s="28" t="s">
        <v>5502</v>
      </c>
      <c r="N593" s="19" t="s">
        <v>5503</v>
      </c>
      <c r="O593" s="6" t="s">
        <v>620</v>
      </c>
      <c r="P593" s="28" t="s">
        <v>620</v>
      </c>
      <c r="Q593" s="177" t="s">
        <v>620</v>
      </c>
      <c r="R593" s="28" t="s">
        <v>620</v>
      </c>
      <c r="S593" s="42" t="str">
        <f aca="false">IF(ISNUMBER($AF593),INDEX(IDX_SrcStat,$AF593),"—")</f>
        <v>—</v>
      </c>
      <c r="T593" s="42" t="str">
        <f aca="false">IF(ISNUMBER($AF593),INDEX(IDX_SrcGrade,$AF593),"—")</f>
        <v>—</v>
      </c>
      <c r="U593" s="28" t="s">
        <v>620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2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2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5504</v>
      </c>
      <c r="B594" s="224" t="s">
        <v>5453</v>
      </c>
      <c r="C594" s="28" t="s">
        <v>5454</v>
      </c>
      <c r="D594" s="28" t="s">
        <v>5505</v>
      </c>
      <c r="E594" s="19" t="s">
        <v>5506</v>
      </c>
      <c r="F594" s="28" t="s">
        <v>147</v>
      </c>
      <c r="G594" s="224" t="s">
        <v>4636</v>
      </c>
      <c r="H594" s="28" t="s">
        <v>620</v>
      </c>
      <c r="I594" s="6" t="s">
        <v>620</v>
      </c>
      <c r="J594" s="28" t="s">
        <v>620</v>
      </c>
      <c r="K594" s="224"/>
      <c r="L594" s="224"/>
      <c r="M594" s="224" t="s">
        <v>5507</v>
      </c>
      <c r="N594" s="6" t="s">
        <v>5508</v>
      </c>
      <c r="O594" s="6" t="s">
        <v>620</v>
      </c>
      <c r="P594" s="28" t="s">
        <v>620</v>
      </c>
      <c r="Q594" s="177" t="s">
        <v>620</v>
      </c>
      <c r="R594" s="28" t="s">
        <v>620</v>
      </c>
      <c r="S594" s="42" t="str">
        <f aca="false">IF(ISNUMBER($AF594),INDEX(IDX_SrcStat,$AF594),"—")</f>
        <v>—</v>
      </c>
      <c r="T594" s="42" t="str">
        <f aca="false">IF(ISNUMBER($AF594),INDEX(IDX_SrcGrade,$AF594),"—")</f>
        <v>—</v>
      </c>
      <c r="U594" s="28" t="s">
        <v>620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2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2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5509</v>
      </c>
      <c r="B595" s="224" t="s">
        <v>5453</v>
      </c>
      <c r="C595" s="28" t="s">
        <v>5454</v>
      </c>
      <c r="D595" s="28" t="s">
        <v>5510</v>
      </c>
      <c r="E595" s="19" t="s">
        <v>5506</v>
      </c>
      <c r="F595" s="28" t="s">
        <v>147</v>
      </c>
      <c r="G595" s="224" t="s">
        <v>4958</v>
      </c>
      <c r="H595" s="28" t="s">
        <v>620</v>
      </c>
      <c r="I595" s="6" t="s">
        <v>620</v>
      </c>
      <c r="J595" s="28" t="s">
        <v>620</v>
      </c>
      <c r="K595" s="224"/>
      <c r="L595" s="224"/>
      <c r="M595" s="28" t="s">
        <v>5511</v>
      </c>
      <c r="N595" s="6" t="s">
        <v>5512</v>
      </c>
      <c r="O595" s="6" t="s">
        <v>620</v>
      </c>
      <c r="P595" s="28" t="s">
        <v>620</v>
      </c>
      <c r="Q595" s="177" t="s">
        <v>620</v>
      </c>
      <c r="R595" s="28" t="s">
        <v>620</v>
      </c>
      <c r="S595" s="42" t="str">
        <f aca="false">IF(ISNUMBER($AF595),INDEX(IDX_SrcStat,$AF595),"—")</f>
        <v>—</v>
      </c>
      <c r="T595" s="42" t="str">
        <f aca="false">IF(ISNUMBER($AF595),INDEX(IDX_SrcGrade,$AF595),"—")</f>
        <v>—</v>
      </c>
      <c r="U595" s="28" t="s">
        <v>620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2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2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5513</v>
      </c>
      <c r="B596" s="224" t="s">
        <v>5514</v>
      </c>
      <c r="C596" s="28" t="s">
        <v>4478</v>
      </c>
      <c r="D596" s="28" t="s">
        <v>4238</v>
      </c>
      <c r="E596" s="19" t="s">
        <v>5515</v>
      </c>
      <c r="F596" s="224" t="s">
        <v>100</v>
      </c>
      <c r="G596" s="224" t="s">
        <v>3882</v>
      </c>
      <c r="H596" s="28" t="s">
        <v>620</v>
      </c>
      <c r="I596" s="6" t="s">
        <v>620</v>
      </c>
      <c r="J596" s="28" t="s">
        <v>3800</v>
      </c>
      <c r="K596" s="226" t="n">
        <v>0.7</v>
      </c>
      <c r="L596" s="226" t="n">
        <v>1</v>
      </c>
      <c r="M596" s="224" t="s">
        <v>5516</v>
      </c>
      <c r="N596" s="6" t="s">
        <v>5517</v>
      </c>
      <c r="O596" s="6" t="s">
        <v>620</v>
      </c>
      <c r="P596" s="224" t="s">
        <v>1151</v>
      </c>
      <c r="Q596" s="185" t="n">
        <f aca="false">Serving!C28</f>
        <v>0.85</v>
      </c>
      <c r="R596" s="28" t="s">
        <v>620</v>
      </c>
      <c r="S596" s="42" t="str">
        <f aca="false">IF(ISNUMBER($AF596),INDEX(IDX_SrcStat,$AF596),"—")</f>
        <v>—</v>
      </c>
      <c r="T596" s="42" t="str">
        <f aca="false">IF(ISNUMBER($AF596),INDEX(IDX_SrcGrade,$AF596),"—")</f>
        <v>—</v>
      </c>
      <c r="U596" s="42" t="s">
        <v>3886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2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2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5518</v>
      </c>
      <c r="B597" s="224" t="s">
        <v>5519</v>
      </c>
      <c r="C597" s="28" t="s">
        <v>4952</v>
      </c>
      <c r="D597" s="28" t="s">
        <v>5520</v>
      </c>
      <c r="E597" s="19" t="s">
        <v>5521</v>
      </c>
      <c r="F597" s="224" t="s">
        <v>4747</v>
      </c>
      <c r="G597" s="224" t="s">
        <v>3882</v>
      </c>
      <c r="H597" s="28" t="s">
        <v>620</v>
      </c>
      <c r="I597" s="6" t="s">
        <v>620</v>
      </c>
      <c r="J597" s="28" t="s">
        <v>3804</v>
      </c>
      <c r="K597" s="226" t="n">
        <v>0.3</v>
      </c>
      <c r="L597" s="226" t="n">
        <v>1</v>
      </c>
      <c r="M597" s="224" t="s">
        <v>5522</v>
      </c>
      <c r="N597" s="6" t="s">
        <v>5523</v>
      </c>
      <c r="O597" s="6" t="s">
        <v>620</v>
      </c>
      <c r="P597" s="224" t="s">
        <v>1151</v>
      </c>
      <c r="Q597" s="185" t="n">
        <f aca="false">Cap_In!C63</f>
        <v>1</v>
      </c>
      <c r="R597" s="28" t="s">
        <v>620</v>
      </c>
      <c r="S597" s="42" t="str">
        <f aca="false">IF(ISNUMBER($AF597),INDEX(IDX_SrcStat,$AF597),"—")</f>
        <v>—</v>
      </c>
      <c r="T597" s="42" t="str">
        <f aca="false">IF(ISNUMBER($AF597),INDEX(IDX_SrcGrade,$AF597),"—")</f>
        <v>—</v>
      </c>
      <c r="U597" s="42" t="s">
        <v>3886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2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2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5524</v>
      </c>
      <c r="B598" s="224" t="s">
        <v>5519</v>
      </c>
      <c r="C598" s="28" t="s">
        <v>4952</v>
      </c>
      <c r="D598" s="28" t="s">
        <v>5525</v>
      </c>
      <c r="E598" s="19" t="s">
        <v>5526</v>
      </c>
      <c r="F598" s="224" t="s">
        <v>4747</v>
      </c>
      <c r="G598" s="224" t="s">
        <v>3882</v>
      </c>
      <c r="H598" s="28" t="s">
        <v>620</v>
      </c>
      <c r="I598" s="6" t="s">
        <v>620</v>
      </c>
      <c r="J598" s="28" t="s">
        <v>3804</v>
      </c>
      <c r="K598" s="226" t="n">
        <v>0.3</v>
      </c>
      <c r="L598" s="226" t="n">
        <v>1</v>
      </c>
      <c r="M598" s="224" t="s">
        <v>5522</v>
      </c>
      <c r="N598" s="6" t="s">
        <v>5527</v>
      </c>
      <c r="O598" s="6" t="s">
        <v>620</v>
      </c>
      <c r="P598" s="224" t="s">
        <v>1151</v>
      </c>
      <c r="Q598" s="185" t="n">
        <f aca="false">Cap_In!C64</f>
        <v>1</v>
      </c>
      <c r="R598" s="28" t="s">
        <v>620</v>
      </c>
      <c r="S598" s="42" t="str">
        <f aca="false">IF(ISNUMBER($AF598),INDEX(IDX_SrcStat,$AF598),"—")</f>
        <v>—</v>
      </c>
      <c r="T598" s="42" t="str">
        <f aca="false">IF(ISNUMBER($AF598),INDEX(IDX_SrcGrade,$AF598),"—")</f>
        <v>—</v>
      </c>
      <c r="U598" s="42" t="s">
        <v>3886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2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2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5528</v>
      </c>
      <c r="B599" s="224" t="s">
        <v>5529</v>
      </c>
      <c r="C599" s="28" t="s">
        <v>4629</v>
      </c>
      <c r="D599" s="28" t="s">
        <v>5530</v>
      </c>
      <c r="E599" s="19" t="s">
        <v>5531</v>
      </c>
      <c r="F599" s="28" t="s">
        <v>147</v>
      </c>
      <c r="G599" s="224" t="s">
        <v>3882</v>
      </c>
      <c r="H599" s="28" t="s">
        <v>5532</v>
      </c>
      <c r="I599" s="19" t="s">
        <v>5533</v>
      </c>
      <c r="J599" s="28" t="s">
        <v>5534</v>
      </c>
      <c r="K599" s="226" t="n">
        <v>0.7</v>
      </c>
      <c r="L599" s="226" t="n">
        <v>1</v>
      </c>
      <c r="M599" s="224" t="s">
        <v>5535</v>
      </c>
      <c r="N599" s="6" t="s">
        <v>5536</v>
      </c>
      <c r="O599" s="6" t="s">
        <v>620</v>
      </c>
      <c r="P599" s="224" t="s">
        <v>3941</v>
      </c>
      <c r="Q599" s="185" t="n">
        <f aca="false">Calib!F156</f>
        <v>0.75</v>
      </c>
      <c r="R599" s="177" t="n">
        <f aca="false">SRC_PERF_056</f>
        <v>1183326.9</v>
      </c>
      <c r="S599" s="42" t="str">
        <f aca="false">IF(ISNUMBER($AF599),INDEX(IDX_SrcStat,$AF599),"—")</f>
        <v>Active</v>
      </c>
      <c r="T599" s="42" t="n">
        <f aca="false">IF(ISNUMBER($AF599),INDEX(IDX_SrcGrade,$AF599),"—")</f>
        <v>1</v>
      </c>
      <c r="U599" s="42" t="s">
        <v>3886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2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2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5537</v>
      </c>
      <c r="B600" s="198" t="s">
        <v>5538</v>
      </c>
      <c r="C600" s="28" t="s">
        <v>5454</v>
      </c>
      <c r="D600" s="28" t="s">
        <v>4159</v>
      </c>
      <c r="E600" s="228" t="s">
        <v>5539</v>
      </c>
      <c r="F600" s="28" t="s">
        <v>147</v>
      </c>
      <c r="G600" s="198" t="s">
        <v>85</v>
      </c>
      <c r="H600" s="28" t="s">
        <v>620</v>
      </c>
      <c r="I600" s="6" t="s">
        <v>620</v>
      </c>
      <c r="J600" s="28" t="s">
        <v>5540</v>
      </c>
      <c r="K600" s="185" t="n">
        <f aca="false">Alloc_In!D23</f>
        <v>0.73</v>
      </c>
      <c r="L600" s="185" t="n">
        <f aca="false">Alloc_In!E23</f>
        <v>1.17</v>
      </c>
      <c r="M600" s="28" t="s">
        <v>5541</v>
      </c>
      <c r="N600" s="6" t="s">
        <v>5542</v>
      </c>
      <c r="O600" s="6" t="s">
        <v>620</v>
      </c>
      <c r="P600" s="198" t="s">
        <v>3941</v>
      </c>
      <c r="Q600" s="185" t="n">
        <f aca="false">Alloc_In!C23</f>
        <v>0.85</v>
      </c>
      <c r="R600" s="28" t="s">
        <v>620</v>
      </c>
      <c r="S600" s="42" t="str">
        <f aca="false">IF(ISNUMBER($AF600),INDEX(IDX_SrcStat,$AF600),"—")</f>
        <v>—</v>
      </c>
      <c r="T600" s="42" t="str">
        <f aca="false">IF(ISNUMBER($AF600),INDEX(IDX_SrcGrade,$AF600),"—")</f>
        <v>—</v>
      </c>
      <c r="U600" s="42" t="s">
        <v>3886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2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2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5543</v>
      </c>
      <c r="B601" s="198" t="s">
        <v>5538</v>
      </c>
      <c r="C601" s="28" t="s">
        <v>5454</v>
      </c>
      <c r="D601" s="28" t="s">
        <v>5544</v>
      </c>
      <c r="E601" s="228" t="s">
        <v>5539</v>
      </c>
      <c r="F601" s="28" t="s">
        <v>147</v>
      </c>
      <c r="G601" s="198" t="s">
        <v>4958</v>
      </c>
      <c r="H601" s="28" t="s">
        <v>620</v>
      </c>
      <c r="I601" s="6" t="s">
        <v>620</v>
      </c>
      <c r="J601" s="28" t="s">
        <v>5540</v>
      </c>
      <c r="K601" s="198"/>
      <c r="L601" s="198"/>
      <c r="M601" s="28" t="s">
        <v>5545</v>
      </c>
      <c r="N601" s="6" t="s">
        <v>5546</v>
      </c>
      <c r="O601" s="6" t="s">
        <v>620</v>
      </c>
      <c r="P601" s="28" t="s">
        <v>620</v>
      </c>
      <c r="Q601" s="177" t="s">
        <v>620</v>
      </c>
      <c r="R601" s="28" t="s">
        <v>620</v>
      </c>
      <c r="S601" s="42" t="str">
        <f aca="false">IF(ISNUMBER($AF601),INDEX(IDX_SrcStat,$AF601),"—")</f>
        <v>—</v>
      </c>
      <c r="T601" s="42" t="str">
        <f aca="false">IF(ISNUMBER($AF601),INDEX(IDX_SrcGrade,$AF601),"—")</f>
        <v>—</v>
      </c>
      <c r="U601" s="28" t="s">
        <v>620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2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2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5547</v>
      </c>
      <c r="B602" s="198" t="s">
        <v>5538</v>
      </c>
      <c r="C602" s="28" t="s">
        <v>5454</v>
      </c>
      <c r="D602" s="28" t="s">
        <v>4176</v>
      </c>
      <c r="E602" s="228" t="s">
        <v>2187</v>
      </c>
      <c r="F602" s="28" t="s">
        <v>100</v>
      </c>
      <c r="G602" s="198" t="s">
        <v>85</v>
      </c>
      <c r="H602" s="28" t="s">
        <v>620</v>
      </c>
      <c r="I602" s="6" t="s">
        <v>620</v>
      </c>
      <c r="J602" s="28" t="s">
        <v>5540</v>
      </c>
      <c r="K602" s="185" t="n">
        <f aca="false">Alloc_In!D24</f>
        <v>0.3</v>
      </c>
      <c r="L602" s="185" t="n">
        <f aca="false">Alloc_In!E24</f>
        <v>0.65</v>
      </c>
      <c r="M602" s="28" t="s">
        <v>5548</v>
      </c>
      <c r="N602" s="6" t="s">
        <v>5549</v>
      </c>
      <c r="O602" s="6" t="s">
        <v>620</v>
      </c>
      <c r="P602" s="198" t="s">
        <v>3941</v>
      </c>
      <c r="Q602" s="185" t="n">
        <f aca="false">Alloc_In!C24</f>
        <v>0.41</v>
      </c>
      <c r="R602" s="28" t="s">
        <v>620</v>
      </c>
      <c r="S602" s="42" t="str">
        <f aca="false">IF(ISNUMBER($AF602),INDEX(IDX_SrcStat,$AF602),"—")</f>
        <v>—</v>
      </c>
      <c r="T602" s="42" t="str">
        <f aca="false">IF(ISNUMBER($AF602),INDEX(IDX_SrcGrade,$AF602),"—")</f>
        <v>—</v>
      </c>
      <c r="U602" s="42" t="s">
        <v>3886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2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2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5550</v>
      </c>
      <c r="B603" s="198" t="s">
        <v>5538</v>
      </c>
      <c r="C603" s="28" t="s">
        <v>5454</v>
      </c>
      <c r="D603" s="28" t="s">
        <v>5551</v>
      </c>
      <c r="E603" s="228" t="s">
        <v>2187</v>
      </c>
      <c r="F603" s="28" t="s">
        <v>100</v>
      </c>
      <c r="G603" s="198" t="s">
        <v>4958</v>
      </c>
      <c r="H603" s="28" t="s">
        <v>620</v>
      </c>
      <c r="I603" s="6" t="s">
        <v>620</v>
      </c>
      <c r="J603" s="28" t="s">
        <v>5540</v>
      </c>
      <c r="K603" s="198"/>
      <c r="L603" s="198"/>
      <c r="M603" s="28" t="s">
        <v>5552</v>
      </c>
      <c r="N603" s="6" t="s">
        <v>5553</v>
      </c>
      <c r="O603" s="6" t="s">
        <v>620</v>
      </c>
      <c r="P603" s="28" t="s">
        <v>620</v>
      </c>
      <c r="Q603" s="177" t="s">
        <v>620</v>
      </c>
      <c r="R603" s="28" t="s">
        <v>620</v>
      </c>
      <c r="S603" s="42" t="str">
        <f aca="false">IF(ISNUMBER($AF603),INDEX(IDX_SrcStat,$AF603),"—")</f>
        <v>—</v>
      </c>
      <c r="T603" s="42" t="str">
        <f aca="false">IF(ISNUMBER($AF603),INDEX(IDX_SrcGrade,$AF603),"—")</f>
        <v>—</v>
      </c>
      <c r="U603" s="28" t="s">
        <v>620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2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2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5554</v>
      </c>
      <c r="B604" s="198" t="s">
        <v>5538</v>
      </c>
      <c r="C604" s="28" t="s">
        <v>5454</v>
      </c>
      <c r="D604" s="28" t="s">
        <v>4191</v>
      </c>
      <c r="E604" s="228" t="s">
        <v>5555</v>
      </c>
      <c r="F604" s="28" t="s">
        <v>92</v>
      </c>
      <c r="G604" s="198" t="s">
        <v>3882</v>
      </c>
      <c r="H604" s="28" t="s">
        <v>620</v>
      </c>
      <c r="I604" s="6" t="s">
        <v>620</v>
      </c>
      <c r="J604" s="28" t="s">
        <v>5540</v>
      </c>
      <c r="K604" s="198"/>
      <c r="L604" s="198"/>
      <c r="M604" s="198" t="s">
        <v>5556</v>
      </c>
      <c r="N604" s="6" t="s">
        <v>5557</v>
      </c>
      <c r="O604" s="6" t="s">
        <v>620</v>
      </c>
      <c r="P604" s="198" t="s">
        <v>3885</v>
      </c>
      <c r="Q604" s="47" t="n">
        <f aca="false">Alloc_In!C25</f>
        <v>2000</v>
      </c>
      <c r="R604" s="28" t="s">
        <v>620</v>
      </c>
      <c r="S604" s="42" t="str">
        <f aca="false">IF(ISNUMBER($AF604),INDEX(IDX_SrcStat,$AF604),"—")</f>
        <v>—</v>
      </c>
      <c r="T604" s="42" t="str">
        <f aca="false">IF(ISNUMBER($AF604),INDEX(IDX_SrcGrade,$AF604),"—")</f>
        <v>—</v>
      </c>
      <c r="U604" s="42" t="s">
        <v>3886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2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2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5558</v>
      </c>
      <c r="B605" s="198" t="s">
        <v>5559</v>
      </c>
      <c r="C605" s="28" t="s">
        <v>3881</v>
      </c>
      <c r="D605" s="28" t="s">
        <v>5444</v>
      </c>
      <c r="E605" s="6" t="s">
        <v>163</v>
      </c>
      <c r="F605" s="198" t="s">
        <v>332</v>
      </c>
      <c r="G605" s="198" t="s">
        <v>3882</v>
      </c>
      <c r="H605" s="28" t="s">
        <v>5560</v>
      </c>
      <c r="I605" s="228" t="s">
        <v>3917</v>
      </c>
      <c r="J605" s="28" t="s">
        <v>5561</v>
      </c>
      <c r="K605" s="198"/>
      <c r="L605" s="198"/>
      <c r="M605" s="198" t="s">
        <v>5562</v>
      </c>
      <c r="N605" s="228" t="s">
        <v>5563</v>
      </c>
      <c r="O605" s="6" t="s">
        <v>620</v>
      </c>
      <c r="P605" s="198" t="s">
        <v>1150</v>
      </c>
      <c r="Q605" s="31" t="n">
        <f aca="false">Inputs!E36</f>
        <v>3</v>
      </c>
      <c r="R605" s="177" t="n">
        <f aca="false">SRC_DC_015</f>
        <v>3</v>
      </c>
      <c r="S605" s="42" t="str">
        <f aca="false">IF(ISNUMBER($AF605),INDEX(IDX_SrcStat,$AF605),"—")</f>
        <v>Active</v>
      </c>
      <c r="T605" s="42" t="n">
        <f aca="false">IF(ISNUMBER($AF605),INDEX(IDX_SrcGrade,$AF605),"—")</f>
        <v>1</v>
      </c>
      <c r="U605" s="42" t="s">
        <v>3919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2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2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5564</v>
      </c>
      <c r="B606" s="198" t="s">
        <v>5559</v>
      </c>
      <c r="C606" s="28" t="s">
        <v>3881</v>
      </c>
      <c r="D606" s="28" t="s">
        <v>5448</v>
      </c>
      <c r="E606" s="6" t="s">
        <v>165</v>
      </c>
      <c r="F606" s="28" t="s">
        <v>104</v>
      </c>
      <c r="G606" s="198" t="s">
        <v>85</v>
      </c>
      <c r="H606" s="28" t="s">
        <v>5560</v>
      </c>
      <c r="I606" s="228" t="s">
        <v>5565</v>
      </c>
      <c r="J606" s="28" t="s">
        <v>3975</v>
      </c>
      <c r="K606" s="232" t="n">
        <f aca="false">Inputs!$D$37</f>
        <v>0.0025</v>
      </c>
      <c r="L606" s="232" t="n">
        <f aca="false">Inputs!$F$37</f>
        <v>0.01</v>
      </c>
      <c r="M606" s="28" t="s">
        <v>5566</v>
      </c>
      <c r="N606" s="6" t="s">
        <v>166</v>
      </c>
      <c r="O606" s="6" t="s">
        <v>620</v>
      </c>
      <c r="P606" s="198" t="s">
        <v>1150</v>
      </c>
      <c r="Q606" s="232" t="n">
        <f aca="false">Inputs!E37</f>
        <v>0.005</v>
      </c>
      <c r="R606" s="177" t="n">
        <f aca="false">SRC_DC_015</f>
        <v>3</v>
      </c>
      <c r="S606" s="42" t="str">
        <f aca="false">IF(ISNUMBER($AF606),INDEX(IDX_SrcStat,$AF606),"—")</f>
        <v>Active</v>
      </c>
      <c r="T606" s="42" t="n">
        <f aca="false">IF(ISNUMBER($AF606),INDEX(IDX_SrcGrade,$AF606),"—")</f>
        <v>1</v>
      </c>
      <c r="U606" s="42" t="s">
        <v>3886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2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2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5567</v>
      </c>
      <c r="B607" s="198" t="s">
        <v>5559</v>
      </c>
      <c r="C607" s="28" t="s">
        <v>3881</v>
      </c>
      <c r="D607" s="28" t="s">
        <v>5568</v>
      </c>
      <c r="E607" s="6" t="s">
        <v>165</v>
      </c>
      <c r="F607" s="28" t="s">
        <v>104</v>
      </c>
      <c r="G607" s="198" t="s">
        <v>1150</v>
      </c>
      <c r="H607" s="28" t="s">
        <v>5560</v>
      </c>
      <c r="I607" s="228" t="s">
        <v>5565</v>
      </c>
      <c r="J607" s="28" t="s">
        <v>3975</v>
      </c>
      <c r="K607" s="198"/>
      <c r="L607" s="198"/>
      <c r="M607" s="28" t="s">
        <v>5569</v>
      </c>
      <c r="N607" s="6" t="s">
        <v>166</v>
      </c>
      <c r="O607" s="6" t="s">
        <v>620</v>
      </c>
      <c r="P607" s="198" t="s">
        <v>1150</v>
      </c>
      <c r="Q607" s="232" t="n">
        <f aca="false">Inputs!D37</f>
        <v>0.0025</v>
      </c>
      <c r="R607" s="177" t="n">
        <f aca="false">SRC_DC_015</f>
        <v>3</v>
      </c>
      <c r="S607" s="42" t="str">
        <f aca="false">IF(ISNUMBER($AF607),INDEX(IDX_SrcStat,$AF607),"—")</f>
        <v>Active</v>
      </c>
      <c r="T607" s="42" t="n">
        <f aca="false">IF(ISNUMBER($AF607),INDEX(IDX_SrcGrade,$AF607),"—")</f>
        <v>1</v>
      </c>
      <c r="U607" s="42" t="s">
        <v>3886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2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2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5570</v>
      </c>
      <c r="B608" s="198" t="s">
        <v>5559</v>
      </c>
      <c r="C608" s="28" t="s">
        <v>3881</v>
      </c>
      <c r="D608" s="28" t="s">
        <v>5571</v>
      </c>
      <c r="E608" s="6" t="s">
        <v>165</v>
      </c>
      <c r="F608" s="28" t="s">
        <v>104</v>
      </c>
      <c r="G608" s="198" t="s">
        <v>1151</v>
      </c>
      <c r="H608" s="28" t="s">
        <v>5560</v>
      </c>
      <c r="I608" s="228" t="s">
        <v>5565</v>
      </c>
      <c r="J608" s="28" t="s">
        <v>3975</v>
      </c>
      <c r="K608" s="198"/>
      <c r="L608" s="198"/>
      <c r="M608" s="28" t="s">
        <v>5572</v>
      </c>
      <c r="N608" s="6" t="s">
        <v>166</v>
      </c>
      <c r="O608" s="6" t="s">
        <v>620</v>
      </c>
      <c r="P608" s="198" t="s">
        <v>1150</v>
      </c>
      <c r="Q608" s="232" t="n">
        <f aca="false">Inputs!F37</f>
        <v>0.01</v>
      </c>
      <c r="R608" s="177" t="n">
        <f aca="false">SRC_DC_015</f>
        <v>3</v>
      </c>
      <c r="S608" s="42" t="str">
        <f aca="false">IF(ISNUMBER($AF608),INDEX(IDX_SrcStat,$AF608),"—")</f>
        <v>Active</v>
      </c>
      <c r="T608" s="42" t="n">
        <f aca="false">IF(ISNUMBER($AF608),INDEX(IDX_SrcGrade,$AF608),"—")</f>
        <v>1</v>
      </c>
      <c r="U608" s="42" t="s">
        <v>3886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2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2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5573</v>
      </c>
      <c r="B609" s="198" t="s">
        <v>5559</v>
      </c>
      <c r="C609" s="28" t="s">
        <v>3881</v>
      </c>
      <c r="D609" s="28" t="s">
        <v>5574</v>
      </c>
      <c r="E609" s="6" t="s">
        <v>167</v>
      </c>
      <c r="F609" s="28" t="s">
        <v>104</v>
      </c>
      <c r="G609" s="198" t="s">
        <v>85</v>
      </c>
      <c r="H609" s="28" t="s">
        <v>5575</v>
      </c>
      <c r="I609" s="228" t="s">
        <v>5576</v>
      </c>
      <c r="J609" s="28" t="s">
        <v>3975</v>
      </c>
      <c r="K609" s="232" t="n">
        <f aca="false">Inputs!$D$38</f>
        <v>0.02</v>
      </c>
      <c r="L609" s="232" t="n">
        <f aca="false">Inputs!$F$38</f>
        <v>0.05</v>
      </c>
      <c r="M609" s="28" t="s">
        <v>5577</v>
      </c>
      <c r="N609" s="6" t="s">
        <v>168</v>
      </c>
      <c r="O609" s="6" t="s">
        <v>620</v>
      </c>
      <c r="P609" s="198" t="s">
        <v>1150</v>
      </c>
      <c r="Q609" s="232" t="n">
        <f aca="false">Inputs!E38</f>
        <v>0.03</v>
      </c>
      <c r="R609" s="177" t="n">
        <f aca="false">SRC_DC_017</f>
        <v>0.038</v>
      </c>
      <c r="S609" s="42" t="str">
        <f aca="false">IF(ISNUMBER($AF609),INDEX(IDX_SrcStat,$AF609),"—")</f>
        <v>Active</v>
      </c>
      <c r="T609" s="42" t="n">
        <f aca="false">IF(ISNUMBER($AF609),INDEX(IDX_SrcGrade,$AF609),"—")</f>
        <v>2</v>
      </c>
      <c r="U609" s="42" t="s">
        <v>3886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2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2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5578</v>
      </c>
      <c r="B610" s="198" t="s">
        <v>5559</v>
      </c>
      <c r="C610" s="28" t="s">
        <v>3881</v>
      </c>
      <c r="D610" s="28" t="s">
        <v>5579</v>
      </c>
      <c r="E610" s="6" t="s">
        <v>167</v>
      </c>
      <c r="F610" s="28" t="s">
        <v>104</v>
      </c>
      <c r="G610" s="198" t="s">
        <v>1150</v>
      </c>
      <c r="H610" s="28" t="s">
        <v>5575</v>
      </c>
      <c r="I610" s="228" t="s">
        <v>5576</v>
      </c>
      <c r="J610" s="28" t="s">
        <v>3975</v>
      </c>
      <c r="K610" s="198"/>
      <c r="L610" s="198"/>
      <c r="M610" s="28" t="s">
        <v>5580</v>
      </c>
      <c r="N610" s="6" t="s">
        <v>168</v>
      </c>
      <c r="O610" s="6" t="s">
        <v>620</v>
      </c>
      <c r="P610" s="198" t="s">
        <v>1150</v>
      </c>
      <c r="Q610" s="232" t="n">
        <f aca="false">Inputs!D38</f>
        <v>0.02</v>
      </c>
      <c r="R610" s="177" t="n">
        <f aca="false">SRC_DC_017</f>
        <v>0.038</v>
      </c>
      <c r="S610" s="42" t="str">
        <f aca="false">IF(ISNUMBER($AF610),INDEX(IDX_SrcStat,$AF610),"—")</f>
        <v>Active</v>
      </c>
      <c r="T610" s="42" t="n">
        <f aca="false">IF(ISNUMBER($AF610),INDEX(IDX_SrcGrade,$AF610),"—")</f>
        <v>2</v>
      </c>
      <c r="U610" s="42" t="s">
        <v>3886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2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2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5581</v>
      </c>
      <c r="B611" s="198" t="s">
        <v>5559</v>
      </c>
      <c r="C611" s="28" t="s">
        <v>3881</v>
      </c>
      <c r="D611" s="28" t="s">
        <v>5582</v>
      </c>
      <c r="E611" s="6" t="s">
        <v>167</v>
      </c>
      <c r="F611" s="28" t="s">
        <v>104</v>
      </c>
      <c r="G611" s="198" t="s">
        <v>1151</v>
      </c>
      <c r="H611" s="28" t="s">
        <v>5575</v>
      </c>
      <c r="I611" s="228" t="s">
        <v>5576</v>
      </c>
      <c r="J611" s="28" t="s">
        <v>3975</v>
      </c>
      <c r="K611" s="198"/>
      <c r="L611" s="198"/>
      <c r="M611" s="28" t="s">
        <v>5583</v>
      </c>
      <c r="N611" s="6" t="s">
        <v>168</v>
      </c>
      <c r="O611" s="6" t="s">
        <v>620</v>
      </c>
      <c r="P611" s="198" t="s">
        <v>1150</v>
      </c>
      <c r="Q611" s="232" t="n">
        <f aca="false">Inputs!F38</f>
        <v>0.05</v>
      </c>
      <c r="R611" s="177" t="n">
        <f aca="false">SRC_DC_017</f>
        <v>0.038</v>
      </c>
      <c r="S611" s="42" t="str">
        <f aca="false">IF(ISNUMBER($AF611),INDEX(IDX_SrcStat,$AF611),"—")</f>
        <v>Active</v>
      </c>
      <c r="T611" s="42" t="n">
        <f aca="false">IF(ISNUMBER($AF611),INDEX(IDX_SrcGrade,$AF611),"—")</f>
        <v>2</v>
      </c>
      <c r="U611" s="42" t="s">
        <v>3886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2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2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5584</v>
      </c>
      <c r="B612" s="198" t="s">
        <v>5585</v>
      </c>
      <c r="C612" s="28" t="s">
        <v>4952</v>
      </c>
      <c r="D612" s="28" t="s">
        <v>5586</v>
      </c>
      <c r="E612" s="228" t="s">
        <v>5587</v>
      </c>
      <c r="F612" s="28" t="s">
        <v>100</v>
      </c>
      <c r="G612" s="198" t="s">
        <v>1151</v>
      </c>
      <c r="H612" s="28" t="s">
        <v>5588</v>
      </c>
      <c r="I612" s="228" t="s">
        <v>5589</v>
      </c>
      <c r="J612" s="28" t="s">
        <v>5590</v>
      </c>
      <c r="K612" s="198"/>
      <c r="L612" s="198"/>
      <c r="M612" s="28" t="s">
        <v>5591</v>
      </c>
      <c r="N612" s="6" t="s">
        <v>5592</v>
      </c>
      <c r="O612" s="6" t="s">
        <v>620</v>
      </c>
      <c r="P612" s="198" t="s">
        <v>3885</v>
      </c>
      <c r="Q612" s="189" t="n">
        <f aca="false">Cap_In!E70</f>
        <v>0.82</v>
      </c>
      <c r="R612" s="177" t="n">
        <f aca="false">SRC_DEM_039</f>
        <v>0.7</v>
      </c>
      <c r="S612" s="42" t="str">
        <f aca="false">IF(ISNUMBER($AF612),INDEX(IDX_SrcStat,$AF612),"—")</f>
        <v>Active</v>
      </c>
      <c r="T612" s="42" t="n">
        <f aca="false">IF(ISNUMBER($AF612),INDEX(IDX_SrcGrade,$AF612),"—")</f>
        <v>2</v>
      </c>
      <c r="U612" s="42" t="s">
        <v>3886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2" t="n">
        <f aca="false">IF(OR($H612="—",$H612=""),"—",MATCH($H612,IDX_SrcID,0))</f>
        <v>672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2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5593</v>
      </c>
      <c r="B613" s="198" t="s">
        <v>5585</v>
      </c>
      <c r="C613" s="28" t="s">
        <v>4952</v>
      </c>
      <c r="D613" s="28" t="s">
        <v>4750</v>
      </c>
      <c r="E613" s="228" t="s">
        <v>1335</v>
      </c>
      <c r="F613" s="28" t="s">
        <v>100</v>
      </c>
      <c r="G613" s="198" t="s">
        <v>3882</v>
      </c>
      <c r="H613" s="28" t="s">
        <v>620</v>
      </c>
      <c r="I613" s="6" t="s">
        <v>620</v>
      </c>
      <c r="J613" s="28" t="s">
        <v>5590</v>
      </c>
      <c r="K613" s="198"/>
      <c r="L613" s="198"/>
      <c r="M613" s="198" t="s">
        <v>5594</v>
      </c>
      <c r="N613" s="6" t="s">
        <v>5595</v>
      </c>
      <c r="O613" s="6" t="s">
        <v>620</v>
      </c>
      <c r="P613" s="198" t="s">
        <v>3885</v>
      </c>
      <c r="Q613" s="31" t="n">
        <f aca="false">Cap_In!C100</f>
        <v>21</v>
      </c>
      <c r="R613" s="28" t="s">
        <v>620</v>
      </c>
      <c r="S613" s="42" t="str">
        <f aca="false">IF(ISNUMBER($AF613),INDEX(IDX_SrcStat,$AF613),"—")</f>
        <v>—</v>
      </c>
      <c r="T613" s="42" t="str">
        <f aca="false">IF(ISNUMBER($AF613),INDEX(IDX_SrcGrade,$AF613),"—")</f>
        <v>—</v>
      </c>
      <c r="U613" s="42" t="s">
        <v>3886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2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2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5596</v>
      </c>
      <c r="B614" s="198" t="s">
        <v>5585</v>
      </c>
      <c r="C614" s="28" t="s">
        <v>4952</v>
      </c>
      <c r="D614" s="28" t="s">
        <v>4756</v>
      </c>
      <c r="E614" s="228" t="s">
        <v>5597</v>
      </c>
      <c r="F614" s="28" t="s">
        <v>100</v>
      </c>
      <c r="G614" s="198" t="s">
        <v>3882</v>
      </c>
      <c r="H614" s="28" t="s">
        <v>620</v>
      </c>
      <c r="I614" s="6" t="s">
        <v>620</v>
      </c>
      <c r="J614" s="28" t="s">
        <v>5590</v>
      </c>
      <c r="K614" s="198"/>
      <c r="L614" s="198"/>
      <c r="M614" s="198" t="s">
        <v>5598</v>
      </c>
      <c r="N614" s="6" t="s">
        <v>5599</v>
      </c>
      <c r="O614" s="6" t="s">
        <v>620</v>
      </c>
      <c r="P614" s="198" t="s">
        <v>3885</v>
      </c>
      <c r="Q614" s="47" t="n">
        <f aca="false">Cap_In!C102</f>
        <v>200</v>
      </c>
      <c r="R614" s="28" t="s">
        <v>620</v>
      </c>
      <c r="S614" s="42" t="str">
        <f aca="false">IF(ISNUMBER($AF614),INDEX(IDX_SrcStat,$AF614),"—")</f>
        <v>—</v>
      </c>
      <c r="T614" s="42" t="str">
        <f aca="false">IF(ISNUMBER($AF614),INDEX(IDX_SrcGrade,$AF614),"—")</f>
        <v>—</v>
      </c>
      <c r="U614" s="42" t="s">
        <v>3886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2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2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5600</v>
      </c>
      <c r="B615" s="198" t="s">
        <v>5585</v>
      </c>
      <c r="C615" s="28" t="s">
        <v>4952</v>
      </c>
      <c r="D615" s="28" t="s">
        <v>4762</v>
      </c>
      <c r="E615" s="228" t="s">
        <v>5601</v>
      </c>
      <c r="F615" s="28" t="s">
        <v>100</v>
      </c>
      <c r="G615" s="198" t="s">
        <v>3882</v>
      </c>
      <c r="H615" s="28" t="s">
        <v>620</v>
      </c>
      <c r="I615" s="6" t="s">
        <v>620</v>
      </c>
      <c r="J615" s="28" t="s">
        <v>5590</v>
      </c>
      <c r="K615" s="198"/>
      <c r="L615" s="198"/>
      <c r="M615" s="198" t="s">
        <v>5602</v>
      </c>
      <c r="N615" s="6" t="s">
        <v>5603</v>
      </c>
      <c r="O615" s="6" t="s">
        <v>620</v>
      </c>
      <c r="P615" s="198" t="s">
        <v>3885</v>
      </c>
      <c r="Q615" s="189" t="n">
        <f aca="false">Cap_In!C104</f>
        <v>0.995</v>
      </c>
      <c r="R615" s="28" t="s">
        <v>620</v>
      </c>
      <c r="S615" s="42" t="str">
        <f aca="false">IF(ISNUMBER($AF615),INDEX(IDX_SrcStat,$AF615),"—")</f>
        <v>—</v>
      </c>
      <c r="T615" s="42" t="str">
        <f aca="false">IF(ISNUMBER($AF615),INDEX(IDX_SrcGrade,$AF615),"—")</f>
        <v>—</v>
      </c>
      <c r="U615" s="42" t="s">
        <v>3886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2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2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28" t="s">
        <v>5604</v>
      </c>
      <c r="B616" s="198" t="s">
        <v>5605</v>
      </c>
      <c r="C616" s="28" t="s">
        <v>4952</v>
      </c>
      <c r="D616" s="28" t="s">
        <v>5606</v>
      </c>
      <c r="E616" s="228" t="s">
        <v>5607</v>
      </c>
      <c r="F616" s="28" t="s">
        <v>100</v>
      </c>
      <c r="G616" s="198" t="s">
        <v>85</v>
      </c>
      <c r="H616" s="28" t="s">
        <v>5608</v>
      </c>
      <c r="I616" s="228" t="s">
        <v>5609</v>
      </c>
      <c r="J616" s="28" t="s">
        <v>5610</v>
      </c>
      <c r="K616" s="189" t="n">
        <f aca="false">Cap_In!E127</f>
        <v>0.05</v>
      </c>
      <c r="L616" s="189" t="n">
        <f aca="false">Cap_In!D127</f>
        <v>0.2</v>
      </c>
      <c r="M616" s="28" t="s">
        <v>5611</v>
      </c>
      <c r="N616" s="6" t="s">
        <v>5612</v>
      </c>
      <c r="O616" s="6" t="s">
        <v>620</v>
      </c>
      <c r="P616" s="198" t="s">
        <v>3885</v>
      </c>
      <c r="Q616" s="189" t="n">
        <f aca="false">Cap_In!C127</f>
        <v>0.1</v>
      </c>
      <c r="R616" s="177" t="n">
        <f aca="false">SRC_DEM_051</f>
        <v>0.07</v>
      </c>
      <c r="S616" s="42" t="str">
        <f aca="false">IF(ISNUMBER($AF616),INDEX(IDX_SrcStat,$AF616),"—")</f>
        <v>Active</v>
      </c>
      <c r="T616" s="42" t="n">
        <f aca="false">IF(ISNUMBER($AF616),INDEX(IDX_SrcGrade,$AF616),"—")</f>
        <v>1</v>
      </c>
      <c r="U616" s="42" t="s">
        <v>3886</v>
      </c>
      <c r="V616" s="30" t="n">
        <f aca="false">IF(AND($F616="原始數據",$U616&lt;&gt;"連結 SRC"),1,0)</f>
        <v>0</v>
      </c>
      <c r="W616" s="30" t="n">
        <f aca="false">IF(AND($F616="Analogy",OR($H616="—",$H616="")),1,0)</f>
        <v>0</v>
      </c>
      <c r="X616" s="30" t="n">
        <f aca="false">IF(AND(OR($F616="Analogy",$F616="Assumed"),$G616&lt;&gt;"低",$G616&lt;&gt;"高",NOT(ISNUMBER($K616)),NOT(ISNUMBER($L616)),OR($M616="—",$M616="")),1,0)</f>
        <v>0</v>
      </c>
      <c r="Y616" s="30" t="n">
        <f aca="false">IF(AND(OR($F616="Analogy",$F616="Assumed",$F616="Derived（待改公式）",$F616="Derived（公式）"),OR($N616="—",$N616="",$N616=0)),1,0)</f>
        <v>0</v>
      </c>
      <c r="Z616" s="30" t="n">
        <f aca="false">IF(AND($F616="Decision",OR($J616="—",$J616="")),1,0)</f>
        <v>0</v>
      </c>
      <c r="AA616" s="31" t="n">
        <f aca="false">IF(OR($J616="—",$J616=""),0,IF(COUNTIF(Decisions!$A$5:$A$300,$J616)=0,1,0))</f>
        <v>0</v>
      </c>
      <c r="AB616" s="30" t="n">
        <f aca="false">IF(AND($F616="原始數據",$S616&lt;&gt;"Active"),1,0)</f>
        <v>0</v>
      </c>
      <c r="AC616" s="30" t="n">
        <f aca="false">IF(AND(ISNUMBER($K616),ISNUMBER($L616),ISNUMBER($Q616)),IF(OR($Q616&lt;MIN($K616,$L616),$Q616&gt;MAX($K616,$L616)),1,0),0)</f>
        <v>0</v>
      </c>
      <c r="AD616" s="30" t="n">
        <f aca="false">IF(AND(ISNUMBER($T616),$P616="高"),IF($T616=3,1,0),0)</f>
        <v>0</v>
      </c>
      <c r="AE616" s="30" t="n">
        <f aca="false">IF($S616="不存在",1,0)</f>
        <v>0</v>
      </c>
      <c r="AF616" s="42" t="n">
        <f aca="false">IF(OR($H616="—",$H616=""),"—",MATCH($H616,IDX_SrcID,0))</f>
        <v>684</v>
      </c>
      <c r="AG616" s="30" t="n">
        <f aca="false">IF(AND($P616="高",OR($AD616=1,$X616=1)),1,0)</f>
        <v>0</v>
      </c>
      <c r="AH616" s="30" t="n">
        <f aca="false">IF(AND($P616="高",$AG616=0,OR($F616&lt;&gt;"原始數據",$T616&lt;&gt;1)),1,0)</f>
        <v>0</v>
      </c>
      <c r="AI616" s="42" t="str">
        <f aca="false">IF(AND($P616="高",ISNUMBER($AF616)),INDEX(IDX_SrcDate,$AF616),"—")</f>
        <v>—</v>
      </c>
      <c r="AJ616" s="30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28" t="s">
        <v>5613</v>
      </c>
      <c r="B617" s="198" t="s">
        <v>5605</v>
      </c>
      <c r="C617" s="28" t="s">
        <v>4952</v>
      </c>
      <c r="D617" s="28" t="s">
        <v>5614</v>
      </c>
      <c r="E617" s="228" t="s">
        <v>5607</v>
      </c>
      <c r="F617" s="28" t="s">
        <v>100</v>
      </c>
      <c r="G617" s="198" t="s">
        <v>4958</v>
      </c>
      <c r="H617" s="28" t="s">
        <v>620</v>
      </c>
      <c r="I617" s="6" t="s">
        <v>620</v>
      </c>
      <c r="J617" s="28" t="s">
        <v>5610</v>
      </c>
      <c r="K617" s="198"/>
      <c r="L617" s="198"/>
      <c r="M617" s="28" t="s">
        <v>5615</v>
      </c>
      <c r="N617" s="6" t="s">
        <v>5612</v>
      </c>
      <c r="O617" s="6" t="s">
        <v>620</v>
      </c>
      <c r="P617" s="198" t="s">
        <v>3885</v>
      </c>
      <c r="Q617" s="177" t="s">
        <v>620</v>
      </c>
      <c r="R617" s="28" t="s">
        <v>620</v>
      </c>
      <c r="S617" s="42" t="str">
        <f aca="false">IF(ISNUMBER($AF617),INDEX(IDX_SrcStat,$AF617),"—")</f>
        <v>—</v>
      </c>
      <c r="T617" s="42" t="str">
        <f aca="false">IF(ISNUMBER($AF617),INDEX(IDX_SrcGrade,$AF617),"—")</f>
        <v>—</v>
      </c>
      <c r="U617" s="28" t="s">
        <v>620</v>
      </c>
      <c r="V617" s="30" t="n">
        <f aca="false">IF(AND($F617="原始數據",$U617&lt;&gt;"連結 SRC"),1,0)</f>
        <v>0</v>
      </c>
      <c r="W617" s="30" t="n">
        <f aca="false">IF(AND($F617="Analogy",OR($H617="—",$H617="")),1,0)</f>
        <v>0</v>
      </c>
      <c r="X617" s="30" t="n">
        <f aca="false">IF(AND(OR($F617="Analogy",$F617="Assumed"),$G617&lt;&gt;"低",$G617&lt;&gt;"高",NOT(ISNUMBER($K617)),NOT(ISNUMBER($L617)),OR($M617="—",$M617="")),1,0)</f>
        <v>0</v>
      </c>
      <c r="Y617" s="30" t="n">
        <f aca="false">IF(AND(OR($F617="Analogy",$F617="Assumed",$F617="Derived（待改公式）",$F617="Derived（公式）"),OR($N617="—",$N617="",$N617=0)),1,0)</f>
        <v>0</v>
      </c>
      <c r="Z617" s="30" t="n">
        <f aca="false">IF(AND($F617="Decision",OR($J617="—",$J617="")),1,0)</f>
        <v>0</v>
      </c>
      <c r="AA617" s="31" t="n">
        <f aca="false">IF(OR($J617="—",$J617=""),0,IF(COUNTIF(Decisions!$A$5:$A$300,$J617)=0,1,0))</f>
        <v>0</v>
      </c>
      <c r="AB617" s="30" t="n">
        <f aca="false">IF(AND($F617="原始數據",$S617&lt;&gt;"Active"),1,0)</f>
        <v>0</v>
      </c>
      <c r="AC617" s="30" t="n">
        <f aca="false">IF(AND(ISNUMBER($K617),ISNUMBER($L617),ISNUMBER($Q617)),IF(OR($Q617&lt;MIN($K617,$L617),$Q617&gt;MAX($K617,$L617)),1,0),0)</f>
        <v>0</v>
      </c>
      <c r="AD617" s="30" t="n">
        <f aca="false">IF(AND(ISNUMBER($T617),$P617="高"),IF($T617=3,1,0),0)</f>
        <v>0</v>
      </c>
      <c r="AE617" s="30" t="n">
        <f aca="false">IF($S617="不存在",1,0)</f>
        <v>0</v>
      </c>
      <c r="AF617" s="42" t="str">
        <f aca="false">IF(OR($H617="—",$H617=""),"—",MATCH($H617,IDX_SrcID,0))</f>
        <v>—</v>
      </c>
      <c r="AG617" s="30" t="n">
        <f aca="false">IF(AND($P617="高",OR($AD617=1,$X617=1)),1,0)</f>
        <v>0</v>
      </c>
      <c r="AH617" s="30" t="n">
        <f aca="false">IF(AND($P617="高",$AG617=0,OR($F617&lt;&gt;"原始數據",$T617&lt;&gt;1)),1,0)</f>
        <v>0</v>
      </c>
      <c r="AI617" s="42" t="str">
        <f aca="false">IF(AND($P617="高",ISNUMBER($AF617)),INDEX(IDX_SrcDate,$AF617),"—")</f>
        <v>—</v>
      </c>
      <c r="AJ617" s="30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28" t="s">
        <v>5616</v>
      </c>
      <c r="B618" s="198" t="s">
        <v>5617</v>
      </c>
      <c r="C618" s="28" t="s">
        <v>4952</v>
      </c>
      <c r="D618" s="28" t="s">
        <v>5618</v>
      </c>
      <c r="E618" s="6" t="s">
        <v>1396</v>
      </c>
      <c r="F618" s="28" t="s">
        <v>100</v>
      </c>
      <c r="G618" s="198" t="s">
        <v>85</v>
      </c>
      <c r="H618" s="28" t="s">
        <v>5619</v>
      </c>
      <c r="I618" s="228" t="s">
        <v>5620</v>
      </c>
      <c r="J618" s="28" t="s">
        <v>5621</v>
      </c>
      <c r="K618" s="189" t="n">
        <f aca="false">Cap_In!D131</f>
        <v>0.05</v>
      </c>
      <c r="L618" s="189" t="n">
        <f aca="false">Cap_In!E131</f>
        <v>0.15</v>
      </c>
      <c r="M618" s="28" t="s">
        <v>5622</v>
      </c>
      <c r="N618" s="6" t="s">
        <v>5623</v>
      </c>
      <c r="O618" s="6" t="s">
        <v>620</v>
      </c>
      <c r="P618" s="198" t="s">
        <v>3885</v>
      </c>
      <c r="Q618" s="189" t="n">
        <f aca="false">Cap_In!C131</f>
        <v>0.1</v>
      </c>
      <c r="R618" s="177" t="n">
        <f aca="false">SRC_DEM_071</f>
        <v>0.2</v>
      </c>
      <c r="S618" s="42" t="str">
        <f aca="false">IF(ISNUMBER($AF618),INDEX(IDX_SrcStat,$AF618),"—")</f>
        <v>Active</v>
      </c>
      <c r="T618" s="42" t="n">
        <f aca="false">IF(ISNUMBER($AF618),INDEX(IDX_SrcGrade,$AF618),"—")</f>
        <v>3</v>
      </c>
      <c r="U618" s="42" t="s">
        <v>3886</v>
      </c>
      <c r="V618" s="30" t="n">
        <f aca="false">IF(AND($F618="原始數據",$U618&lt;&gt;"連結 SRC"),1,0)</f>
        <v>0</v>
      </c>
      <c r="W618" s="30" t="n">
        <f aca="false">IF(AND($F618="Analogy",OR($H618="—",$H618="")),1,0)</f>
        <v>0</v>
      </c>
      <c r="X618" s="30" t="n">
        <f aca="false">IF(AND(OR($F618="Analogy",$F618="Assumed"),$G618&lt;&gt;"低",$G618&lt;&gt;"高",NOT(ISNUMBER($K618)),NOT(ISNUMBER($L618)),OR($M618="—",$M618="")),1,0)</f>
        <v>0</v>
      </c>
      <c r="Y618" s="30" t="n">
        <f aca="false">IF(AND(OR($F618="Analogy",$F618="Assumed",$F618="Derived（待改公式）",$F618="Derived（公式）"),OR($N618="—",$N618="",$N618=0)),1,0)</f>
        <v>0</v>
      </c>
      <c r="Z618" s="30" t="n">
        <f aca="false">IF(AND($F618="Decision",OR($J618="—",$J618="")),1,0)</f>
        <v>0</v>
      </c>
      <c r="AA618" s="31" t="n">
        <f aca="false">IF(OR($J618="—",$J618=""),0,IF(COUNTIF(Decisions!$A$5:$A$300,$J618)=0,1,0))</f>
        <v>0</v>
      </c>
      <c r="AB618" s="30" t="n">
        <f aca="false">IF(AND($F618="原始數據",$S618&lt;&gt;"Active"),1,0)</f>
        <v>0</v>
      </c>
      <c r="AC618" s="30" t="n">
        <f aca="false">IF(AND(ISNUMBER($K618),ISNUMBER($L618),ISNUMBER($Q618)),IF(OR($Q618&lt;MIN($K618,$L618),$Q618&gt;MAX($K618,$L618)),1,0),0)</f>
        <v>0</v>
      </c>
      <c r="AD618" s="30" t="n">
        <f aca="false">IF(AND(ISNUMBER($T618),$P618="高"),IF($T618=3,1,0),0)</f>
        <v>0</v>
      </c>
      <c r="AE618" s="30" t="n">
        <f aca="false">IF($S618="不存在",1,0)</f>
        <v>0</v>
      </c>
      <c r="AF618" s="42" t="n">
        <f aca="false">IF(OR($H618="—",$H618=""),"—",MATCH($H618,IDX_SrcID,0))</f>
        <v>704</v>
      </c>
      <c r="AG618" s="30" t="n">
        <f aca="false">IF(AND($P618="高",OR($AD618=1,$X618=1)),1,0)</f>
        <v>0</v>
      </c>
      <c r="AH618" s="30" t="n">
        <f aca="false">IF(AND($P618="高",$AG618=0,OR($F618&lt;&gt;"原始數據",$T618&lt;&gt;1)),1,0)</f>
        <v>0</v>
      </c>
      <c r="AI618" s="42" t="str">
        <f aca="false">IF(AND($P618="高",ISNUMBER($AF618)),INDEX(IDX_SrcDate,$AF618),"—")</f>
        <v>—</v>
      </c>
      <c r="AJ618" s="30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28" t="s">
        <v>5624</v>
      </c>
      <c r="B619" s="198" t="s">
        <v>5617</v>
      </c>
      <c r="C619" s="28" t="s">
        <v>4952</v>
      </c>
      <c r="D619" s="28" t="s">
        <v>5625</v>
      </c>
      <c r="E619" s="6" t="s">
        <v>1396</v>
      </c>
      <c r="F619" s="28" t="s">
        <v>100</v>
      </c>
      <c r="G619" s="198" t="s">
        <v>4958</v>
      </c>
      <c r="H619" s="28" t="s">
        <v>620</v>
      </c>
      <c r="I619" s="6" t="s">
        <v>620</v>
      </c>
      <c r="J619" s="28" t="s">
        <v>5621</v>
      </c>
      <c r="K619" s="198"/>
      <c r="L619" s="198"/>
      <c r="M619" s="28" t="s">
        <v>5626</v>
      </c>
      <c r="N619" s="6" t="s">
        <v>5623</v>
      </c>
      <c r="O619" s="6" t="s">
        <v>620</v>
      </c>
      <c r="P619" s="198" t="s">
        <v>3885</v>
      </c>
      <c r="Q619" s="177" t="s">
        <v>620</v>
      </c>
      <c r="R619" s="28" t="s">
        <v>620</v>
      </c>
      <c r="S619" s="42" t="str">
        <f aca="false">IF(ISNUMBER($AF619),INDEX(IDX_SrcStat,$AF619),"—")</f>
        <v>—</v>
      </c>
      <c r="T619" s="42" t="str">
        <f aca="false">IF(ISNUMBER($AF619),INDEX(IDX_SrcGrade,$AF619),"—")</f>
        <v>—</v>
      </c>
      <c r="U619" s="28" t="s">
        <v>620</v>
      </c>
      <c r="V619" s="30" t="n">
        <f aca="false">IF(AND($F619="原始數據",$U619&lt;&gt;"連結 SRC"),1,0)</f>
        <v>0</v>
      </c>
      <c r="W619" s="30" t="n">
        <f aca="false">IF(AND($F619="Analogy",OR($H619="—",$H619="")),1,0)</f>
        <v>0</v>
      </c>
      <c r="X619" s="30" t="n">
        <f aca="false">IF(AND(OR($F619="Analogy",$F619="Assumed"),$G619&lt;&gt;"低",$G619&lt;&gt;"高",NOT(ISNUMBER($K619)),NOT(ISNUMBER($L619)),OR($M619="—",$M619="")),1,0)</f>
        <v>0</v>
      </c>
      <c r="Y619" s="30" t="n">
        <f aca="false">IF(AND(OR($F619="Analogy",$F619="Assumed",$F619="Derived（待改公式）",$F619="Derived（公式）"),OR($N619="—",$N619="",$N619=0)),1,0)</f>
        <v>0</v>
      </c>
      <c r="Z619" s="30" t="n">
        <f aca="false">IF(AND($F619="Decision",OR($J619="—",$J619="")),1,0)</f>
        <v>0</v>
      </c>
      <c r="AA619" s="31" t="n">
        <f aca="false">IF(OR($J619="—",$J619=""),0,IF(COUNTIF(Decisions!$A$5:$A$300,$J619)=0,1,0))</f>
        <v>0</v>
      </c>
      <c r="AB619" s="30" t="n">
        <f aca="false">IF(AND($F619="原始數據",$S619&lt;&gt;"Active"),1,0)</f>
        <v>0</v>
      </c>
      <c r="AC619" s="30" t="n">
        <f aca="false">IF(AND(ISNUMBER($K619),ISNUMBER($L619),ISNUMBER($Q619)),IF(OR($Q619&lt;MIN($K619,$L619),$Q619&gt;MAX($K619,$L619)),1,0),0)</f>
        <v>0</v>
      </c>
      <c r="AD619" s="30" t="n">
        <f aca="false">IF(AND(ISNUMBER($T619),$P619="高"),IF($T619=3,1,0),0)</f>
        <v>0</v>
      </c>
      <c r="AE619" s="30" t="n">
        <f aca="false">IF($S619="不存在",1,0)</f>
        <v>0</v>
      </c>
      <c r="AF619" s="42" t="str">
        <f aca="false">IF(OR($H619="—",$H619=""),"—",MATCH($H619,IDX_SrcID,0))</f>
        <v>—</v>
      </c>
      <c r="AG619" s="30" t="n">
        <f aca="false">IF(AND($P619="高",OR($AD619=1,$X619=1)),1,0)</f>
        <v>0</v>
      </c>
      <c r="AH619" s="30" t="n">
        <f aca="false">IF(AND($P619="高",$AG619=0,OR($F619&lt;&gt;"原始數據",$T619&lt;&gt;1)),1,0)</f>
        <v>0</v>
      </c>
      <c r="AI619" s="42" t="str">
        <f aca="false">IF(AND($P619="高",ISNUMBER($AF619)),INDEX(IDX_SrcDate,$AF619),"—")</f>
        <v>—</v>
      </c>
      <c r="AJ619" s="30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28" t="s">
        <v>5627</v>
      </c>
      <c r="B620" s="198" t="s">
        <v>5617</v>
      </c>
      <c r="C620" s="28" t="s">
        <v>4952</v>
      </c>
      <c r="D620" s="28" t="s">
        <v>5628</v>
      </c>
      <c r="E620" s="228" t="s">
        <v>5629</v>
      </c>
      <c r="F620" s="28" t="s">
        <v>100</v>
      </c>
      <c r="G620" s="198" t="s">
        <v>85</v>
      </c>
      <c r="H620" s="28" t="s">
        <v>620</v>
      </c>
      <c r="I620" s="6" t="s">
        <v>620</v>
      </c>
      <c r="J620" s="28" t="s">
        <v>5630</v>
      </c>
      <c r="K620" s="189" t="n">
        <f aca="false">Cap_In!E132</f>
        <v>0.6</v>
      </c>
      <c r="L620" s="189" t="n">
        <f aca="false">Cap_In!D132</f>
        <v>0.9</v>
      </c>
      <c r="M620" s="28" t="s">
        <v>5631</v>
      </c>
      <c r="N620" s="6" t="s">
        <v>5632</v>
      </c>
      <c r="O620" s="6" t="s">
        <v>620</v>
      </c>
      <c r="P620" s="198" t="s">
        <v>3885</v>
      </c>
      <c r="Q620" s="189" t="n">
        <f aca="false">Cap_In!C132</f>
        <v>0.75</v>
      </c>
      <c r="R620" s="28" t="s">
        <v>620</v>
      </c>
      <c r="S620" s="42" t="str">
        <f aca="false">IF(ISNUMBER($AF620),INDEX(IDX_SrcStat,$AF620),"—")</f>
        <v>—</v>
      </c>
      <c r="T620" s="42" t="str">
        <f aca="false">IF(ISNUMBER($AF620),INDEX(IDX_SrcGrade,$AF620),"—")</f>
        <v>—</v>
      </c>
      <c r="U620" s="42" t="s">
        <v>3886</v>
      </c>
      <c r="V620" s="30" t="n">
        <f aca="false">IF(AND($F620="原始數據",$U620&lt;&gt;"連結 SRC"),1,0)</f>
        <v>0</v>
      </c>
      <c r="W620" s="30" t="n">
        <f aca="false">IF(AND($F620="Analogy",OR($H620="—",$H620="")),1,0)</f>
        <v>0</v>
      </c>
      <c r="X620" s="30" t="n">
        <f aca="false">IF(AND(OR($F620="Analogy",$F620="Assumed"),$G620&lt;&gt;"低",$G620&lt;&gt;"高",NOT(ISNUMBER($K620)),NOT(ISNUMBER($L620)),OR($M620="—",$M620="")),1,0)</f>
        <v>0</v>
      </c>
      <c r="Y620" s="30" t="n">
        <f aca="false">IF(AND(OR($F620="Analogy",$F620="Assumed",$F620="Derived（待改公式）",$F620="Derived（公式）"),OR($N620="—",$N620="",$N620=0)),1,0)</f>
        <v>0</v>
      </c>
      <c r="Z620" s="30" t="n">
        <f aca="false">IF(AND($F620="Decision",OR($J620="—",$J620="")),1,0)</f>
        <v>0</v>
      </c>
      <c r="AA620" s="31" t="n">
        <f aca="false">IF(OR($J620="—",$J620=""),0,IF(COUNTIF(Decisions!$A$5:$A$300,$J620)=0,1,0))</f>
        <v>0</v>
      </c>
      <c r="AB620" s="30" t="n">
        <f aca="false">IF(AND($F620="原始數據",$S620&lt;&gt;"Active"),1,0)</f>
        <v>0</v>
      </c>
      <c r="AC620" s="30" t="n">
        <f aca="false">IF(AND(ISNUMBER($K620),ISNUMBER($L620),ISNUMBER($Q620)),IF(OR($Q620&lt;MIN($K620,$L620),$Q620&gt;MAX($K620,$L620)),1,0),0)</f>
        <v>0</v>
      </c>
      <c r="AD620" s="30" t="n">
        <f aca="false">IF(AND(ISNUMBER($T620),$P620="高"),IF($T620=3,1,0),0)</f>
        <v>0</v>
      </c>
      <c r="AE620" s="30" t="n">
        <f aca="false">IF($S620="不存在",1,0)</f>
        <v>0</v>
      </c>
      <c r="AF620" s="42" t="str">
        <f aca="false">IF(OR($H620="—",$H620=""),"—",MATCH($H620,IDX_SrcID,0))</f>
        <v>—</v>
      </c>
      <c r="AG620" s="30" t="n">
        <f aca="false">IF(AND($P620="高",OR($AD620=1,$X620=1)),1,0)</f>
        <v>0</v>
      </c>
      <c r="AH620" s="30" t="n">
        <f aca="false">IF(AND($P620="高",$AG620=0,OR($F620&lt;&gt;"原始數據",$T620&lt;&gt;1)),1,0)</f>
        <v>0</v>
      </c>
      <c r="AI620" s="42" t="str">
        <f aca="false">IF(AND($P620="高",ISNUMBER($AF620)),INDEX(IDX_SrcDate,$AF620),"—")</f>
        <v>—</v>
      </c>
      <c r="AJ620" s="30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28" t="s">
        <v>5633</v>
      </c>
      <c r="B621" s="198" t="s">
        <v>5617</v>
      </c>
      <c r="C621" s="28" t="s">
        <v>4952</v>
      </c>
      <c r="D621" s="28" t="s">
        <v>5634</v>
      </c>
      <c r="E621" s="228" t="s">
        <v>5629</v>
      </c>
      <c r="F621" s="28" t="s">
        <v>100</v>
      </c>
      <c r="G621" s="198" t="s">
        <v>4958</v>
      </c>
      <c r="H621" s="28" t="s">
        <v>620</v>
      </c>
      <c r="I621" s="6" t="s">
        <v>620</v>
      </c>
      <c r="J621" s="28" t="s">
        <v>5630</v>
      </c>
      <c r="K621" s="198"/>
      <c r="L621" s="198"/>
      <c r="M621" s="28" t="s">
        <v>5635</v>
      </c>
      <c r="N621" s="6" t="s">
        <v>5632</v>
      </c>
      <c r="O621" s="6" t="s">
        <v>620</v>
      </c>
      <c r="P621" s="198" t="s">
        <v>3885</v>
      </c>
      <c r="Q621" s="177" t="s">
        <v>620</v>
      </c>
      <c r="R621" s="28" t="s">
        <v>620</v>
      </c>
      <c r="S621" s="42" t="str">
        <f aca="false">IF(ISNUMBER($AF621),INDEX(IDX_SrcStat,$AF621),"—")</f>
        <v>—</v>
      </c>
      <c r="T621" s="42" t="str">
        <f aca="false">IF(ISNUMBER($AF621),INDEX(IDX_SrcGrade,$AF621),"—")</f>
        <v>—</v>
      </c>
      <c r="U621" s="28" t="s">
        <v>620</v>
      </c>
      <c r="V621" s="30" t="n">
        <f aca="false">IF(AND($F621="原始數據",$U621&lt;&gt;"連結 SRC"),1,0)</f>
        <v>0</v>
      </c>
      <c r="W621" s="30" t="n">
        <f aca="false">IF(AND($F621="Analogy",OR($H621="—",$H621="")),1,0)</f>
        <v>0</v>
      </c>
      <c r="X621" s="30" t="n">
        <f aca="false">IF(AND(OR($F621="Analogy",$F621="Assumed"),$G621&lt;&gt;"低",$G621&lt;&gt;"高",NOT(ISNUMBER($K621)),NOT(ISNUMBER($L621)),OR($M621="—",$M621="")),1,0)</f>
        <v>0</v>
      </c>
      <c r="Y621" s="30" t="n">
        <f aca="false">IF(AND(OR($F621="Analogy",$F621="Assumed",$F621="Derived（待改公式）",$F621="Derived（公式）"),OR($N621="—",$N621="",$N621=0)),1,0)</f>
        <v>0</v>
      </c>
      <c r="Z621" s="30" t="n">
        <f aca="false">IF(AND($F621="Decision",OR($J621="—",$J621="")),1,0)</f>
        <v>0</v>
      </c>
      <c r="AA621" s="31" t="n">
        <f aca="false">IF(OR($J621="—",$J621=""),0,IF(COUNTIF(Decisions!$A$5:$A$300,$J621)=0,1,0))</f>
        <v>0</v>
      </c>
      <c r="AB621" s="30" t="n">
        <f aca="false">IF(AND($F621="原始數據",$S621&lt;&gt;"Active"),1,0)</f>
        <v>0</v>
      </c>
      <c r="AC621" s="30" t="n">
        <f aca="false">IF(AND(ISNUMBER($K621),ISNUMBER($L621),ISNUMBER($Q621)),IF(OR($Q621&lt;MIN($K621,$L621),$Q621&gt;MAX($K621,$L621)),1,0),0)</f>
        <v>0</v>
      </c>
      <c r="AD621" s="30" t="n">
        <f aca="false">IF(AND(ISNUMBER($T621),$P621="高"),IF($T621=3,1,0),0)</f>
        <v>0</v>
      </c>
      <c r="AE621" s="30" t="n">
        <f aca="false">IF($S621="不存在",1,0)</f>
        <v>0</v>
      </c>
      <c r="AF621" s="42" t="str">
        <f aca="false">IF(OR($H621="—",$H621=""),"—",MATCH($H621,IDX_SrcID,0))</f>
        <v>—</v>
      </c>
      <c r="AG621" s="30" t="n">
        <f aca="false">IF(AND($P621="高",OR($AD621=1,$X621=1)),1,0)</f>
        <v>0</v>
      </c>
      <c r="AH621" s="30" t="n">
        <f aca="false">IF(AND($P621="高",$AG621=0,OR($F621&lt;&gt;"原始數據",$T621&lt;&gt;1)),1,0)</f>
        <v>0</v>
      </c>
      <c r="AI621" s="42" t="str">
        <f aca="false">IF(AND($P621="高",ISNUMBER($AF621)),INDEX(IDX_SrcDate,$AF621),"—")</f>
        <v>—</v>
      </c>
      <c r="AJ621" s="30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28" t="s">
        <v>5636</v>
      </c>
      <c r="B622" s="198" t="s">
        <v>5617</v>
      </c>
      <c r="C622" s="28" t="s">
        <v>4952</v>
      </c>
      <c r="D622" s="28" t="s">
        <v>5637</v>
      </c>
      <c r="E622" s="6" t="s">
        <v>1400</v>
      </c>
      <c r="F622" s="28" t="s">
        <v>100</v>
      </c>
      <c r="G622" s="198" t="s">
        <v>85</v>
      </c>
      <c r="H622" s="28" t="s">
        <v>620</v>
      </c>
      <c r="I622" s="6" t="s">
        <v>620</v>
      </c>
      <c r="J622" s="28" t="s">
        <v>5621</v>
      </c>
      <c r="K622" s="44" t="n">
        <f aca="false">Cap_In!D133</f>
        <v>0</v>
      </c>
      <c r="L622" s="44" t="n">
        <f aca="false">Cap_In!E133</f>
        <v>1</v>
      </c>
      <c r="M622" s="28" t="s">
        <v>5638</v>
      </c>
      <c r="N622" s="6" t="s">
        <v>5639</v>
      </c>
      <c r="O622" s="6" t="s">
        <v>620</v>
      </c>
      <c r="P622" s="198" t="s">
        <v>3885</v>
      </c>
      <c r="Q622" s="44" t="n">
        <f aca="false">Cap_In!C133</f>
        <v>0.5</v>
      </c>
      <c r="R622" s="28" t="s">
        <v>620</v>
      </c>
      <c r="S622" s="42" t="str">
        <f aca="false">IF(ISNUMBER($AF622),INDEX(IDX_SrcStat,$AF622),"—")</f>
        <v>—</v>
      </c>
      <c r="T622" s="42" t="str">
        <f aca="false">IF(ISNUMBER($AF622),INDEX(IDX_SrcGrade,$AF622),"—")</f>
        <v>—</v>
      </c>
      <c r="U622" s="42" t="s">
        <v>3886</v>
      </c>
      <c r="V622" s="30" t="n">
        <f aca="false">IF(AND($F622="原始數據",$U622&lt;&gt;"連結 SRC"),1,0)</f>
        <v>0</v>
      </c>
      <c r="W622" s="30" t="n">
        <f aca="false">IF(AND($F622="Analogy",OR($H622="—",$H622="")),1,0)</f>
        <v>0</v>
      </c>
      <c r="X622" s="30" t="n">
        <f aca="false">IF(AND(OR($F622="Analogy",$F622="Assumed"),$G622&lt;&gt;"低",$G622&lt;&gt;"高",NOT(ISNUMBER($K622)),NOT(ISNUMBER($L622)),OR($M622="—",$M622="")),1,0)</f>
        <v>0</v>
      </c>
      <c r="Y622" s="30" t="n">
        <f aca="false">IF(AND(OR($F622="Analogy",$F622="Assumed",$F622="Derived（待改公式）",$F622="Derived（公式）"),OR($N622="—",$N622="",$N622=0)),1,0)</f>
        <v>0</v>
      </c>
      <c r="Z622" s="30" t="n">
        <f aca="false">IF(AND($F622="Decision",OR($J622="—",$J622="")),1,0)</f>
        <v>0</v>
      </c>
      <c r="AA622" s="31" t="n">
        <f aca="false">IF(OR($J622="—",$J622=""),0,IF(COUNTIF(Decisions!$A$5:$A$300,$J622)=0,1,0))</f>
        <v>0</v>
      </c>
      <c r="AB622" s="30" t="n">
        <f aca="false">IF(AND($F622="原始數據",$S622&lt;&gt;"Active"),1,0)</f>
        <v>0</v>
      </c>
      <c r="AC622" s="30" t="n">
        <f aca="false">IF(AND(ISNUMBER($K622),ISNUMBER($L622),ISNUMBER($Q622)),IF(OR($Q622&lt;MIN($K622,$L622),$Q622&gt;MAX($K622,$L622)),1,0),0)</f>
        <v>0</v>
      </c>
      <c r="AD622" s="30" t="n">
        <f aca="false">IF(AND(ISNUMBER($T622),$P622="高"),IF($T622=3,1,0),0)</f>
        <v>0</v>
      </c>
      <c r="AE622" s="30" t="n">
        <f aca="false">IF($S622="不存在",1,0)</f>
        <v>0</v>
      </c>
      <c r="AF622" s="42" t="str">
        <f aca="false">IF(OR($H622="—",$H622=""),"—",MATCH($H622,IDX_SrcID,0))</f>
        <v>—</v>
      </c>
      <c r="AG622" s="30" t="n">
        <f aca="false">IF(AND($P622="高",OR($AD622=1,$X622=1)),1,0)</f>
        <v>0</v>
      </c>
      <c r="AH622" s="30" t="n">
        <f aca="false">IF(AND($P622="高",$AG622=0,OR($F622&lt;&gt;"原始數據",$T622&lt;&gt;1)),1,0)</f>
        <v>0</v>
      </c>
      <c r="AI622" s="42" t="str">
        <f aca="false">IF(AND($P622="高",ISNUMBER($AF622)),INDEX(IDX_SrcDate,$AF622),"—")</f>
        <v>—</v>
      </c>
      <c r="AJ622" s="30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28" t="s">
        <v>5640</v>
      </c>
      <c r="B623" s="198" t="s">
        <v>5617</v>
      </c>
      <c r="C623" s="28" t="s">
        <v>4952</v>
      </c>
      <c r="D623" s="28" t="s">
        <v>5641</v>
      </c>
      <c r="E623" s="6" t="s">
        <v>1400</v>
      </c>
      <c r="F623" s="28" t="s">
        <v>100</v>
      </c>
      <c r="G623" s="198" t="s">
        <v>4958</v>
      </c>
      <c r="H623" s="28" t="s">
        <v>620</v>
      </c>
      <c r="I623" s="6" t="s">
        <v>620</v>
      </c>
      <c r="J623" s="28" t="s">
        <v>5621</v>
      </c>
      <c r="K623" s="198"/>
      <c r="L623" s="198"/>
      <c r="M623" s="28" t="s">
        <v>5642</v>
      </c>
      <c r="N623" s="6" t="s">
        <v>5639</v>
      </c>
      <c r="O623" s="6" t="s">
        <v>620</v>
      </c>
      <c r="P623" s="198" t="s">
        <v>3885</v>
      </c>
      <c r="Q623" s="177" t="s">
        <v>620</v>
      </c>
      <c r="R623" s="28" t="s">
        <v>620</v>
      </c>
      <c r="S623" s="42" t="str">
        <f aca="false">IF(ISNUMBER($AF623),INDEX(IDX_SrcStat,$AF623),"—")</f>
        <v>—</v>
      </c>
      <c r="T623" s="42" t="str">
        <f aca="false">IF(ISNUMBER($AF623),INDEX(IDX_SrcGrade,$AF623),"—")</f>
        <v>—</v>
      </c>
      <c r="U623" s="28" t="s">
        <v>620</v>
      </c>
      <c r="V623" s="30" t="n">
        <f aca="false">IF(AND($F623="原始數據",$U623&lt;&gt;"連結 SRC"),1,0)</f>
        <v>0</v>
      </c>
      <c r="W623" s="30" t="n">
        <f aca="false">IF(AND($F623="Analogy",OR($H623="—",$H623="")),1,0)</f>
        <v>0</v>
      </c>
      <c r="X623" s="30" t="n">
        <f aca="false">IF(AND(OR($F623="Analogy",$F623="Assumed"),$G623&lt;&gt;"低",$G623&lt;&gt;"高",NOT(ISNUMBER($K623)),NOT(ISNUMBER($L623)),OR($M623="—",$M623="")),1,0)</f>
        <v>0</v>
      </c>
      <c r="Y623" s="30" t="n">
        <f aca="false">IF(AND(OR($F623="Analogy",$F623="Assumed",$F623="Derived（待改公式）",$F623="Derived（公式）"),OR($N623="—",$N623="",$N623=0)),1,0)</f>
        <v>0</v>
      </c>
      <c r="Z623" s="30" t="n">
        <f aca="false">IF(AND($F623="Decision",OR($J623="—",$J623="")),1,0)</f>
        <v>0</v>
      </c>
      <c r="AA623" s="31" t="n">
        <f aca="false">IF(OR($J623="—",$J623=""),0,IF(COUNTIF(Decisions!$A$5:$A$300,$J623)=0,1,0))</f>
        <v>0</v>
      </c>
      <c r="AB623" s="30" t="n">
        <f aca="false">IF(AND($F623="原始數據",$S623&lt;&gt;"Active"),1,0)</f>
        <v>0</v>
      </c>
      <c r="AC623" s="30" t="n">
        <f aca="false">IF(AND(ISNUMBER($K623),ISNUMBER($L623),ISNUMBER($Q623)),IF(OR($Q623&lt;MIN($K623,$L623),$Q623&gt;MAX($K623,$L623)),1,0),0)</f>
        <v>0</v>
      </c>
      <c r="AD623" s="30" t="n">
        <f aca="false">IF(AND(ISNUMBER($T623),$P623="高"),IF($T623=3,1,0),0)</f>
        <v>0</v>
      </c>
      <c r="AE623" s="30" t="n">
        <f aca="false">IF($S623="不存在",1,0)</f>
        <v>0</v>
      </c>
      <c r="AF623" s="42" t="str">
        <f aca="false">IF(OR($H623="—",$H623=""),"—",MATCH($H623,IDX_SrcID,0))</f>
        <v>—</v>
      </c>
      <c r="AG623" s="30" t="n">
        <f aca="false">IF(AND($P623="高",OR($AD623=1,$X623=1)),1,0)</f>
        <v>0</v>
      </c>
      <c r="AH623" s="30" t="n">
        <f aca="false">IF(AND($P623="高",$AG623=0,OR($F623&lt;&gt;"原始數據",$T623&lt;&gt;1)),1,0)</f>
        <v>0</v>
      </c>
      <c r="AI623" s="42" t="str">
        <f aca="false">IF(AND($P623="高",ISNUMBER($AF623)),INDEX(IDX_SrcDate,$AF623),"—")</f>
        <v>—</v>
      </c>
      <c r="AJ623" s="30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28" t="s">
        <v>5643</v>
      </c>
      <c r="B624" s="198" t="s">
        <v>5617</v>
      </c>
      <c r="C624" s="28" t="s">
        <v>4952</v>
      </c>
      <c r="D624" s="28" t="s">
        <v>5644</v>
      </c>
      <c r="E624" s="228" t="s">
        <v>5645</v>
      </c>
      <c r="F624" s="28" t="s">
        <v>100</v>
      </c>
      <c r="G624" s="198" t="s">
        <v>3882</v>
      </c>
      <c r="H624" s="28" t="s">
        <v>620</v>
      </c>
      <c r="I624" s="6" t="s">
        <v>620</v>
      </c>
      <c r="J624" s="28" t="s">
        <v>5646</v>
      </c>
      <c r="K624" s="198"/>
      <c r="L624" s="198"/>
      <c r="M624" s="198" t="s">
        <v>5647</v>
      </c>
      <c r="N624" s="6" t="s">
        <v>5648</v>
      </c>
      <c r="O624" s="6" t="s">
        <v>620</v>
      </c>
      <c r="P624" s="198" t="s">
        <v>3885</v>
      </c>
      <c r="Q624" s="47" t="n">
        <f aca="false">Cap_In!C154</f>
        <v>20</v>
      </c>
      <c r="R624" s="28" t="s">
        <v>620</v>
      </c>
      <c r="S624" s="42" t="str">
        <f aca="false">IF(ISNUMBER($AF624),INDEX(IDX_SrcStat,$AF624),"—")</f>
        <v>—</v>
      </c>
      <c r="T624" s="42" t="str">
        <f aca="false">IF(ISNUMBER($AF624),INDEX(IDX_SrcGrade,$AF624),"—")</f>
        <v>—</v>
      </c>
      <c r="U624" s="42" t="s">
        <v>3886</v>
      </c>
      <c r="V624" s="30" t="n">
        <f aca="false">IF(AND($F624="原始數據",$U624&lt;&gt;"連結 SRC"),1,0)</f>
        <v>0</v>
      </c>
      <c r="W624" s="30" t="n">
        <f aca="false">IF(AND($F624="Analogy",OR($H624="—",$H624="")),1,0)</f>
        <v>0</v>
      </c>
      <c r="X624" s="30" t="n">
        <f aca="false">IF(AND(OR($F624="Analogy",$F624="Assumed"),$G624&lt;&gt;"低",$G624&lt;&gt;"高",NOT(ISNUMBER($K624)),NOT(ISNUMBER($L624)),OR($M624="—",$M624="")),1,0)</f>
        <v>0</v>
      </c>
      <c r="Y624" s="30" t="n">
        <f aca="false">IF(AND(OR($F624="Analogy",$F624="Assumed",$F624="Derived（待改公式）",$F624="Derived（公式）"),OR($N624="—",$N624="",$N624=0)),1,0)</f>
        <v>0</v>
      </c>
      <c r="Z624" s="30" t="n">
        <f aca="false">IF(AND($F624="Decision",OR($J624="—",$J624="")),1,0)</f>
        <v>0</v>
      </c>
      <c r="AA624" s="31" t="n">
        <f aca="false">IF(OR($J624="—",$J624=""),0,IF(COUNTIF(Decisions!$A$5:$A$300,$J624)=0,1,0))</f>
        <v>0</v>
      </c>
      <c r="AB624" s="30" t="n">
        <f aca="false">IF(AND($F624="原始數據",$S624&lt;&gt;"Active"),1,0)</f>
        <v>0</v>
      </c>
      <c r="AC624" s="30" t="n">
        <f aca="false">IF(AND(ISNUMBER($K624),ISNUMBER($L624),ISNUMBER($Q624)),IF(OR($Q624&lt;MIN($K624,$L624),$Q624&gt;MAX($K624,$L624)),1,0),0)</f>
        <v>0</v>
      </c>
      <c r="AD624" s="30" t="n">
        <f aca="false">IF(AND(ISNUMBER($T624),$P624="高"),IF($T624=3,1,0),0)</f>
        <v>0</v>
      </c>
      <c r="AE624" s="30" t="n">
        <f aca="false">IF($S624="不存在",1,0)</f>
        <v>0</v>
      </c>
      <c r="AF624" s="42" t="str">
        <f aca="false">IF(OR($H624="—",$H624=""),"—",MATCH($H624,IDX_SrcID,0))</f>
        <v>—</v>
      </c>
      <c r="AG624" s="30" t="n">
        <f aca="false">IF(AND($P624="高",OR($AD624=1,$X624=1)),1,0)</f>
        <v>0</v>
      </c>
      <c r="AH624" s="30" t="n">
        <f aca="false">IF(AND($P624="高",$AG624=0,OR($F624&lt;&gt;"原始數據",$T624&lt;&gt;1)),1,0)</f>
        <v>0</v>
      </c>
      <c r="AI624" s="42" t="str">
        <f aca="false">IF(AND($P624="高",ISNUMBER($AF624)),INDEX(IDX_SrcDate,$AF624),"—")</f>
        <v>—</v>
      </c>
      <c r="AJ624" s="30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28" t="s">
        <v>5649</v>
      </c>
      <c r="B625" s="198" t="s">
        <v>5617</v>
      </c>
      <c r="C625" s="28" t="s">
        <v>4952</v>
      </c>
      <c r="D625" s="28" t="s">
        <v>5650</v>
      </c>
      <c r="E625" s="228" t="s">
        <v>5651</v>
      </c>
      <c r="F625" s="28" t="s">
        <v>100</v>
      </c>
      <c r="G625" s="198" t="s">
        <v>3882</v>
      </c>
      <c r="H625" s="28" t="s">
        <v>620</v>
      </c>
      <c r="I625" s="6" t="s">
        <v>620</v>
      </c>
      <c r="J625" s="28" t="s">
        <v>5646</v>
      </c>
      <c r="K625" s="198"/>
      <c r="L625" s="198"/>
      <c r="M625" s="198" t="s">
        <v>5652</v>
      </c>
      <c r="N625" s="6" t="s">
        <v>5648</v>
      </c>
      <c r="O625" s="6" t="s">
        <v>620</v>
      </c>
      <c r="P625" s="198" t="s">
        <v>3885</v>
      </c>
      <c r="Q625" s="47" t="n">
        <f aca="false">Cap_In!C155</f>
        <v>700</v>
      </c>
      <c r="R625" s="28" t="s">
        <v>620</v>
      </c>
      <c r="S625" s="42" t="str">
        <f aca="false">IF(ISNUMBER($AF625),INDEX(IDX_SrcStat,$AF625),"—")</f>
        <v>—</v>
      </c>
      <c r="T625" s="42" t="str">
        <f aca="false">IF(ISNUMBER($AF625),INDEX(IDX_SrcGrade,$AF625),"—")</f>
        <v>—</v>
      </c>
      <c r="U625" s="42" t="s">
        <v>3886</v>
      </c>
      <c r="V625" s="30" t="n">
        <f aca="false">IF(AND($F625="原始數據",$U625&lt;&gt;"連結 SRC"),1,0)</f>
        <v>0</v>
      </c>
      <c r="W625" s="30" t="n">
        <f aca="false">IF(AND($F625="Analogy",OR($H625="—",$H625="")),1,0)</f>
        <v>0</v>
      </c>
      <c r="X625" s="30" t="n">
        <f aca="false">IF(AND(OR($F625="Analogy",$F625="Assumed"),$G625&lt;&gt;"低",$G625&lt;&gt;"高",NOT(ISNUMBER($K625)),NOT(ISNUMBER($L625)),OR($M625="—",$M625="")),1,0)</f>
        <v>0</v>
      </c>
      <c r="Y625" s="30" t="n">
        <f aca="false">IF(AND(OR($F625="Analogy",$F625="Assumed",$F625="Derived（待改公式）",$F625="Derived（公式）"),OR($N625="—",$N625="",$N625=0)),1,0)</f>
        <v>0</v>
      </c>
      <c r="Z625" s="30" t="n">
        <f aca="false">IF(AND($F625="Decision",OR($J625="—",$J625="")),1,0)</f>
        <v>0</v>
      </c>
      <c r="AA625" s="31" t="n">
        <f aca="false">IF(OR($J625="—",$J625=""),0,IF(COUNTIF(Decisions!$A$5:$A$300,$J625)=0,1,0))</f>
        <v>0</v>
      </c>
      <c r="AB625" s="30" t="n">
        <f aca="false">IF(AND($F625="原始數據",$S625&lt;&gt;"Active"),1,0)</f>
        <v>0</v>
      </c>
      <c r="AC625" s="30" t="n">
        <f aca="false">IF(AND(ISNUMBER($K625),ISNUMBER($L625),ISNUMBER($Q625)),IF(OR($Q625&lt;MIN($K625,$L625),$Q625&gt;MAX($K625,$L625)),1,0),0)</f>
        <v>0</v>
      </c>
      <c r="AD625" s="30" t="n">
        <f aca="false">IF(AND(ISNUMBER($T625),$P625="高"),IF($T625=3,1,0),0)</f>
        <v>0</v>
      </c>
      <c r="AE625" s="30" t="n">
        <f aca="false">IF($S625="不存在",1,0)</f>
        <v>0</v>
      </c>
      <c r="AF625" s="42" t="str">
        <f aca="false">IF(OR($H625="—",$H625=""),"—",MATCH($H625,IDX_SrcID,0))</f>
        <v>—</v>
      </c>
      <c r="AG625" s="30" t="n">
        <f aca="false">IF(AND($P625="高",OR($AD625=1,$X625=1)),1,0)</f>
        <v>0</v>
      </c>
      <c r="AH625" s="30" t="n">
        <f aca="false">IF(AND($P625="高",$AG625=0,OR($F625&lt;&gt;"原始數據",$T625&lt;&gt;1)),1,0)</f>
        <v>0</v>
      </c>
      <c r="AI625" s="42" t="str">
        <f aca="false">IF(AND($P625="高",ISNUMBER($AF625)),INDEX(IDX_SrcDate,$AF625),"—")</f>
        <v>—</v>
      </c>
      <c r="AJ625" s="30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28" t="s">
        <v>5653</v>
      </c>
      <c r="B626" s="198" t="s">
        <v>5617</v>
      </c>
      <c r="C626" s="28" t="s">
        <v>4952</v>
      </c>
      <c r="D626" s="28" t="s">
        <v>5654</v>
      </c>
      <c r="E626" s="228" t="s">
        <v>5655</v>
      </c>
      <c r="F626" s="28" t="s">
        <v>100</v>
      </c>
      <c r="G626" s="198" t="s">
        <v>3882</v>
      </c>
      <c r="H626" s="28" t="s">
        <v>620</v>
      </c>
      <c r="I626" s="6" t="s">
        <v>620</v>
      </c>
      <c r="J626" s="28" t="s">
        <v>5646</v>
      </c>
      <c r="K626" s="198"/>
      <c r="L626" s="198"/>
      <c r="M626" s="198" t="s">
        <v>5656</v>
      </c>
      <c r="N626" s="6" t="s">
        <v>5648</v>
      </c>
      <c r="O626" s="6" t="s">
        <v>620</v>
      </c>
      <c r="P626" s="198" t="s">
        <v>3885</v>
      </c>
      <c r="Q626" s="47" t="n">
        <f aca="false">Cap_In!C156</f>
        <v>200</v>
      </c>
      <c r="R626" s="28" t="s">
        <v>620</v>
      </c>
      <c r="S626" s="42" t="str">
        <f aca="false">IF(ISNUMBER($AF626),INDEX(IDX_SrcStat,$AF626),"—")</f>
        <v>—</v>
      </c>
      <c r="T626" s="42" t="str">
        <f aca="false">IF(ISNUMBER($AF626),INDEX(IDX_SrcGrade,$AF626),"—")</f>
        <v>—</v>
      </c>
      <c r="U626" s="42" t="s">
        <v>3886</v>
      </c>
      <c r="V626" s="30" t="n">
        <f aca="false">IF(AND($F626="原始數據",$U626&lt;&gt;"連結 SRC"),1,0)</f>
        <v>0</v>
      </c>
      <c r="W626" s="30" t="n">
        <f aca="false">IF(AND($F626="Analogy",OR($H626="—",$H626="")),1,0)</f>
        <v>0</v>
      </c>
      <c r="X626" s="30" t="n">
        <f aca="false">IF(AND(OR($F626="Analogy",$F626="Assumed"),$G626&lt;&gt;"低",$G626&lt;&gt;"高",NOT(ISNUMBER($K626)),NOT(ISNUMBER($L626)),OR($M626="—",$M626="")),1,0)</f>
        <v>0</v>
      </c>
      <c r="Y626" s="30" t="n">
        <f aca="false">IF(AND(OR($F626="Analogy",$F626="Assumed",$F626="Derived（待改公式）",$F626="Derived（公式）"),OR($N626="—",$N626="",$N626=0)),1,0)</f>
        <v>0</v>
      </c>
      <c r="Z626" s="30" t="n">
        <f aca="false">IF(AND($F626="Decision",OR($J626="—",$J626="")),1,0)</f>
        <v>0</v>
      </c>
      <c r="AA626" s="31" t="n">
        <f aca="false">IF(OR($J626="—",$J626=""),0,IF(COUNTIF(Decisions!$A$5:$A$300,$J626)=0,1,0))</f>
        <v>0</v>
      </c>
      <c r="AB626" s="30" t="n">
        <f aca="false">IF(AND($F626="原始數據",$S626&lt;&gt;"Active"),1,0)</f>
        <v>0</v>
      </c>
      <c r="AC626" s="30" t="n">
        <f aca="false">IF(AND(ISNUMBER($K626),ISNUMBER($L626),ISNUMBER($Q626)),IF(OR($Q626&lt;MIN($K626,$L626),$Q626&gt;MAX($K626,$L626)),1,0),0)</f>
        <v>0</v>
      </c>
      <c r="AD626" s="30" t="n">
        <f aca="false">IF(AND(ISNUMBER($T626),$P626="高"),IF($T626=3,1,0),0)</f>
        <v>0</v>
      </c>
      <c r="AE626" s="30" t="n">
        <f aca="false">IF($S626="不存在",1,0)</f>
        <v>0</v>
      </c>
      <c r="AF626" s="42" t="str">
        <f aca="false">IF(OR($H626="—",$H626=""),"—",MATCH($H626,IDX_SrcID,0))</f>
        <v>—</v>
      </c>
      <c r="AG626" s="30" t="n">
        <f aca="false">IF(AND($P626="高",OR($AD626=1,$X626=1)),1,0)</f>
        <v>0</v>
      </c>
      <c r="AH626" s="30" t="n">
        <f aca="false">IF(AND($P626="高",$AG626=0,OR($F626&lt;&gt;"原始數據",$T626&lt;&gt;1)),1,0)</f>
        <v>0</v>
      </c>
      <c r="AI626" s="42" t="str">
        <f aca="false">IF(AND($P626="高",ISNUMBER($AF626)),INDEX(IDX_SrcDate,$AF626),"—")</f>
        <v>—</v>
      </c>
      <c r="AJ626" s="30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28" t="s">
        <v>5657</v>
      </c>
      <c r="B627" s="198" t="s">
        <v>5617</v>
      </c>
      <c r="C627" s="28" t="s">
        <v>4952</v>
      </c>
      <c r="D627" s="28" t="s">
        <v>5658</v>
      </c>
      <c r="E627" s="228" t="s">
        <v>5659</v>
      </c>
      <c r="F627" s="28" t="s">
        <v>100</v>
      </c>
      <c r="G627" s="198" t="s">
        <v>3882</v>
      </c>
      <c r="H627" s="28" t="s">
        <v>620</v>
      </c>
      <c r="I627" s="6" t="s">
        <v>620</v>
      </c>
      <c r="J627" s="28" t="s">
        <v>5646</v>
      </c>
      <c r="K627" s="198"/>
      <c r="L627" s="198"/>
      <c r="M627" s="198" t="s">
        <v>5660</v>
      </c>
      <c r="N627" s="6" t="s">
        <v>5648</v>
      </c>
      <c r="O627" s="6" t="s">
        <v>620</v>
      </c>
      <c r="P627" s="198" t="s">
        <v>3885</v>
      </c>
      <c r="Q627" s="47" t="n">
        <f aca="false">Cap_In!C157</f>
        <v>14000</v>
      </c>
      <c r="R627" s="28" t="s">
        <v>620</v>
      </c>
      <c r="S627" s="42" t="str">
        <f aca="false">IF(ISNUMBER($AF627),INDEX(IDX_SrcStat,$AF627),"—")</f>
        <v>—</v>
      </c>
      <c r="T627" s="42" t="str">
        <f aca="false">IF(ISNUMBER($AF627),INDEX(IDX_SrcGrade,$AF627),"—")</f>
        <v>—</v>
      </c>
      <c r="U627" s="42" t="s">
        <v>3886</v>
      </c>
      <c r="V627" s="30" t="n">
        <f aca="false">IF(AND($F627="原始數據",$U627&lt;&gt;"連結 SRC"),1,0)</f>
        <v>0</v>
      </c>
      <c r="W627" s="30" t="n">
        <f aca="false">IF(AND($F627="Analogy",OR($H627="—",$H627="")),1,0)</f>
        <v>0</v>
      </c>
      <c r="X627" s="30" t="n">
        <f aca="false">IF(AND(OR($F627="Analogy",$F627="Assumed"),$G627&lt;&gt;"低",$G627&lt;&gt;"高",NOT(ISNUMBER($K627)),NOT(ISNUMBER($L627)),OR($M627="—",$M627="")),1,0)</f>
        <v>0</v>
      </c>
      <c r="Y627" s="30" t="n">
        <f aca="false">IF(AND(OR($F627="Analogy",$F627="Assumed",$F627="Derived（待改公式）",$F627="Derived（公式）"),OR($N627="—",$N627="",$N627=0)),1,0)</f>
        <v>0</v>
      </c>
      <c r="Z627" s="30" t="n">
        <f aca="false">IF(AND($F627="Decision",OR($J627="—",$J627="")),1,0)</f>
        <v>0</v>
      </c>
      <c r="AA627" s="31" t="n">
        <f aca="false">IF(OR($J627="—",$J627=""),0,IF(COUNTIF(Decisions!$A$5:$A$300,$J627)=0,1,0))</f>
        <v>0</v>
      </c>
      <c r="AB627" s="30" t="n">
        <f aca="false">IF(AND($F627="原始數據",$S627&lt;&gt;"Active"),1,0)</f>
        <v>0</v>
      </c>
      <c r="AC627" s="30" t="n">
        <f aca="false">IF(AND(ISNUMBER($K627),ISNUMBER($L627),ISNUMBER($Q627)),IF(OR($Q627&lt;MIN($K627,$L627),$Q627&gt;MAX($K627,$L627)),1,0),0)</f>
        <v>0</v>
      </c>
      <c r="AD627" s="30" t="n">
        <f aca="false">IF(AND(ISNUMBER($T627),$P627="高"),IF($T627=3,1,0),0)</f>
        <v>0</v>
      </c>
      <c r="AE627" s="30" t="n">
        <f aca="false">IF($S627="不存在",1,0)</f>
        <v>0</v>
      </c>
      <c r="AF627" s="42" t="str">
        <f aca="false">IF(OR($H627="—",$H627=""),"—",MATCH($H627,IDX_SrcID,0))</f>
        <v>—</v>
      </c>
      <c r="AG627" s="30" t="n">
        <f aca="false">IF(AND($P627="高",OR($AD627=1,$X627=1)),1,0)</f>
        <v>0</v>
      </c>
      <c r="AH627" s="30" t="n">
        <f aca="false">IF(AND($P627="高",$AG627=0,OR($F627&lt;&gt;"原始數據",$T627&lt;&gt;1)),1,0)</f>
        <v>0</v>
      </c>
      <c r="AI627" s="42" t="str">
        <f aca="false">IF(AND($P627="高",ISNUMBER($AF627)),INDEX(IDX_SrcDate,$AF627),"—")</f>
        <v>—</v>
      </c>
      <c r="AJ627" s="30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28" t="s">
        <v>5661</v>
      </c>
      <c r="B628" s="198" t="s">
        <v>5617</v>
      </c>
      <c r="C628" s="28" t="s">
        <v>4952</v>
      </c>
      <c r="D628" s="28" t="s">
        <v>5662</v>
      </c>
      <c r="E628" s="228" t="s">
        <v>5663</v>
      </c>
      <c r="F628" s="28" t="s">
        <v>100</v>
      </c>
      <c r="G628" s="198" t="s">
        <v>3882</v>
      </c>
      <c r="H628" s="28" t="s">
        <v>5664</v>
      </c>
      <c r="I628" s="228" t="s">
        <v>5665</v>
      </c>
      <c r="J628" s="28" t="s">
        <v>5621</v>
      </c>
      <c r="K628" s="198"/>
      <c r="L628" s="198"/>
      <c r="M628" s="198" t="s">
        <v>5666</v>
      </c>
      <c r="N628" s="6" t="s">
        <v>5667</v>
      </c>
      <c r="O628" s="6" t="s">
        <v>620</v>
      </c>
      <c r="P628" s="198" t="s">
        <v>3885</v>
      </c>
      <c r="Q628" s="44" t="n">
        <f aca="false">Cap_In!F185</f>
        <v>36</v>
      </c>
      <c r="R628" s="177" t="n">
        <f aca="false">SRC_DEM_042</f>
        <v>6.7</v>
      </c>
      <c r="S628" s="42" t="str">
        <f aca="false">IF(ISNUMBER($AF628),INDEX(IDX_SrcStat,$AF628),"—")</f>
        <v>Active</v>
      </c>
      <c r="T628" s="42" t="n">
        <f aca="false">IF(ISNUMBER($AF628),INDEX(IDX_SrcGrade,$AF628),"—")</f>
        <v>2</v>
      </c>
      <c r="U628" s="42" t="s">
        <v>3886</v>
      </c>
      <c r="V628" s="30" t="n">
        <f aca="false">IF(AND($F628="原始數據",$U628&lt;&gt;"連結 SRC"),1,0)</f>
        <v>0</v>
      </c>
      <c r="W628" s="30" t="n">
        <f aca="false">IF(AND($F628="Analogy",OR($H628="—",$H628="")),1,0)</f>
        <v>0</v>
      </c>
      <c r="X628" s="30" t="n">
        <f aca="false">IF(AND(OR($F628="Analogy",$F628="Assumed"),$G628&lt;&gt;"低",$G628&lt;&gt;"高",NOT(ISNUMBER($K628)),NOT(ISNUMBER($L628)),OR($M628="—",$M628="")),1,0)</f>
        <v>0</v>
      </c>
      <c r="Y628" s="30" t="n">
        <f aca="false">IF(AND(OR($F628="Analogy",$F628="Assumed",$F628="Derived（待改公式）",$F628="Derived（公式）"),OR($N628="—",$N628="",$N628=0)),1,0)</f>
        <v>0</v>
      </c>
      <c r="Z628" s="30" t="n">
        <f aca="false">IF(AND($F628="Decision",OR($J628="—",$J628="")),1,0)</f>
        <v>0</v>
      </c>
      <c r="AA628" s="31" t="n">
        <f aca="false">IF(OR($J628="—",$J628=""),0,IF(COUNTIF(Decisions!$A$5:$A$300,$J628)=0,1,0))</f>
        <v>0</v>
      </c>
      <c r="AB628" s="30" t="n">
        <f aca="false">IF(AND($F628="原始數據",$S628&lt;&gt;"Active"),1,0)</f>
        <v>0</v>
      </c>
      <c r="AC628" s="30" t="n">
        <f aca="false">IF(AND(ISNUMBER($K628),ISNUMBER($L628),ISNUMBER($Q628)),IF(OR($Q628&lt;MIN($K628,$L628),$Q628&gt;MAX($K628,$L628)),1,0),0)</f>
        <v>0</v>
      </c>
      <c r="AD628" s="30" t="n">
        <f aca="false">IF(AND(ISNUMBER($T628),$P628="高"),IF($T628=3,1,0),0)</f>
        <v>0</v>
      </c>
      <c r="AE628" s="30" t="n">
        <f aca="false">IF($S628="不存在",1,0)</f>
        <v>0</v>
      </c>
      <c r="AF628" s="42" t="n">
        <f aca="false">IF(OR($H628="—",$H628=""),"—",MATCH($H628,IDX_SrcID,0))</f>
        <v>675</v>
      </c>
      <c r="AG628" s="30" t="n">
        <f aca="false">IF(AND($P628="高",OR($AD628=1,$X628=1)),1,0)</f>
        <v>0</v>
      </c>
      <c r="AH628" s="30" t="n">
        <f aca="false">IF(AND($P628="高",$AG628=0,OR($F628&lt;&gt;"原始數據",$T628&lt;&gt;1)),1,0)</f>
        <v>0</v>
      </c>
      <c r="AI628" s="42" t="str">
        <f aca="false">IF(AND($P628="高",ISNUMBER($AF628)),INDEX(IDX_SrcDate,$AF628),"—")</f>
        <v>—</v>
      </c>
      <c r="AJ628" s="30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28" t="s">
        <v>5668</v>
      </c>
      <c r="B629" s="198" t="s">
        <v>5617</v>
      </c>
      <c r="C629" s="28" t="s">
        <v>4952</v>
      </c>
      <c r="D629" s="28" t="s">
        <v>5669</v>
      </c>
      <c r="E629" s="228" t="s">
        <v>5670</v>
      </c>
      <c r="F629" s="28" t="s">
        <v>100</v>
      </c>
      <c r="G629" s="198" t="s">
        <v>3882</v>
      </c>
      <c r="H629" s="28" t="s">
        <v>5671</v>
      </c>
      <c r="I629" s="228" t="s">
        <v>5672</v>
      </c>
      <c r="J629" s="28" t="s">
        <v>5621</v>
      </c>
      <c r="K629" s="198"/>
      <c r="L629" s="198"/>
      <c r="M629" s="198" t="s">
        <v>5673</v>
      </c>
      <c r="N629" s="6" t="s">
        <v>5674</v>
      </c>
      <c r="O629" s="6" t="s">
        <v>620</v>
      </c>
      <c r="P629" s="198" t="s">
        <v>3885</v>
      </c>
      <c r="Q629" s="177" t="s">
        <v>620</v>
      </c>
      <c r="R629" s="177" t="n">
        <f aca="false">SRC_DEM_023</f>
        <v>0.4</v>
      </c>
      <c r="S629" s="42" t="str">
        <f aca="false">IF(ISNUMBER($AF629),INDEX(IDX_SrcStat,$AF629),"—")</f>
        <v>Active</v>
      </c>
      <c r="T629" s="42" t="n">
        <f aca="false">IF(ISNUMBER($AF629),INDEX(IDX_SrcGrade,$AF629),"—")</f>
        <v>1</v>
      </c>
      <c r="U629" s="28" t="s">
        <v>620</v>
      </c>
      <c r="V629" s="30" t="n">
        <f aca="false">IF(AND($F629="原始數據",$U629&lt;&gt;"連結 SRC"),1,0)</f>
        <v>0</v>
      </c>
      <c r="W629" s="30" t="n">
        <f aca="false">IF(AND($F629="Analogy",OR($H629="—",$H629="")),1,0)</f>
        <v>0</v>
      </c>
      <c r="X629" s="30" t="n">
        <f aca="false">IF(AND(OR($F629="Analogy",$F629="Assumed"),$G629&lt;&gt;"低",$G629&lt;&gt;"高",NOT(ISNUMBER($K629)),NOT(ISNUMBER($L629)),OR($M629="—",$M629="")),1,0)</f>
        <v>0</v>
      </c>
      <c r="Y629" s="30" t="n">
        <f aca="false">IF(AND(OR($F629="Analogy",$F629="Assumed",$F629="Derived（待改公式）",$F629="Derived（公式）"),OR($N629="—",$N629="",$N629=0)),1,0)</f>
        <v>0</v>
      </c>
      <c r="Z629" s="30" t="n">
        <f aca="false">IF(AND($F629="Decision",OR($J629="—",$J629="")),1,0)</f>
        <v>0</v>
      </c>
      <c r="AA629" s="31" t="n">
        <f aca="false">IF(OR($J629="—",$J629=""),0,IF(COUNTIF(Decisions!$A$5:$A$300,$J629)=0,1,0))</f>
        <v>0</v>
      </c>
      <c r="AB629" s="30" t="n">
        <f aca="false">IF(AND($F629="原始數據",$S629&lt;&gt;"Active"),1,0)</f>
        <v>0</v>
      </c>
      <c r="AC629" s="30" t="n">
        <f aca="false">IF(AND(ISNUMBER($K629),ISNUMBER($L629),ISNUMBER($Q629)),IF(OR($Q629&lt;MIN($K629,$L629),$Q629&gt;MAX($K629,$L629)),1,0),0)</f>
        <v>0</v>
      </c>
      <c r="AD629" s="30" t="n">
        <f aca="false">IF(AND(ISNUMBER($T629),$P629="高"),IF($T629=3,1,0),0)</f>
        <v>0</v>
      </c>
      <c r="AE629" s="30" t="n">
        <f aca="false">IF($S629="不存在",1,0)</f>
        <v>0</v>
      </c>
      <c r="AF629" s="42" t="n">
        <f aca="false">IF(OR($H629="—",$H629=""),"—",MATCH($H629,IDX_SrcID,0))</f>
        <v>656</v>
      </c>
      <c r="AG629" s="30" t="n">
        <f aca="false">IF(AND($P629="高",OR($AD629=1,$X629=1)),1,0)</f>
        <v>0</v>
      </c>
      <c r="AH629" s="30" t="n">
        <f aca="false">IF(AND($P629="高",$AG629=0,OR($F629&lt;&gt;"原始數據",$T629&lt;&gt;1)),1,0)</f>
        <v>0</v>
      </c>
      <c r="AI629" s="42" t="str">
        <f aca="false">IF(AND($P629="高",ISNUMBER($AF629)),INDEX(IDX_SrcDate,$AF629),"—")</f>
        <v>—</v>
      </c>
      <c r="AJ629" s="30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28" t="s">
        <v>5675</v>
      </c>
      <c r="B630" s="198" t="s">
        <v>5617</v>
      </c>
      <c r="C630" s="28" t="s">
        <v>4952</v>
      </c>
      <c r="D630" s="28" t="s">
        <v>5676</v>
      </c>
      <c r="E630" s="228" t="s">
        <v>5677</v>
      </c>
      <c r="F630" s="28" t="s">
        <v>100</v>
      </c>
      <c r="G630" s="198" t="s">
        <v>3882</v>
      </c>
      <c r="H630" s="28" t="s">
        <v>5619</v>
      </c>
      <c r="I630" s="228" t="s">
        <v>5678</v>
      </c>
      <c r="J630" s="28" t="s">
        <v>5621</v>
      </c>
      <c r="K630" s="198"/>
      <c r="L630" s="198"/>
      <c r="M630" s="198" t="s">
        <v>5679</v>
      </c>
      <c r="N630" s="6" t="s">
        <v>5680</v>
      </c>
      <c r="O630" s="6" t="s">
        <v>620</v>
      </c>
      <c r="P630" s="198" t="s">
        <v>3885</v>
      </c>
      <c r="Q630" s="177" t="s">
        <v>620</v>
      </c>
      <c r="R630" s="177" t="n">
        <f aca="false">SRC_DEM_071</f>
        <v>0.2</v>
      </c>
      <c r="S630" s="42" t="str">
        <f aca="false">IF(ISNUMBER($AF630),INDEX(IDX_SrcStat,$AF630),"—")</f>
        <v>Active</v>
      </c>
      <c r="T630" s="42" t="n">
        <f aca="false">IF(ISNUMBER($AF630),INDEX(IDX_SrcGrade,$AF630),"—")</f>
        <v>3</v>
      </c>
      <c r="U630" s="28" t="s">
        <v>620</v>
      </c>
      <c r="V630" s="30" t="n">
        <f aca="false">IF(AND($F630="原始數據",$U630&lt;&gt;"連結 SRC"),1,0)</f>
        <v>0</v>
      </c>
      <c r="W630" s="30" t="n">
        <f aca="false">IF(AND($F630="Analogy",OR($H630="—",$H630="")),1,0)</f>
        <v>0</v>
      </c>
      <c r="X630" s="30" t="n">
        <f aca="false">IF(AND(OR($F630="Analogy",$F630="Assumed"),$G630&lt;&gt;"低",$G630&lt;&gt;"高",NOT(ISNUMBER($K630)),NOT(ISNUMBER($L630)),OR($M630="—",$M630="")),1,0)</f>
        <v>0</v>
      </c>
      <c r="Y630" s="30" t="n">
        <f aca="false">IF(AND(OR($F630="Analogy",$F630="Assumed",$F630="Derived（待改公式）",$F630="Derived（公式）"),OR($N630="—",$N630="",$N630=0)),1,0)</f>
        <v>0</v>
      </c>
      <c r="Z630" s="30" t="n">
        <f aca="false">IF(AND($F630="Decision",OR($J630="—",$J630="")),1,0)</f>
        <v>0</v>
      </c>
      <c r="AA630" s="31" t="n">
        <f aca="false">IF(OR($J630="—",$J630=""),0,IF(COUNTIF(Decisions!$A$5:$A$300,$J630)=0,1,0))</f>
        <v>0</v>
      </c>
      <c r="AB630" s="30" t="n">
        <f aca="false">IF(AND($F630="原始數據",$S630&lt;&gt;"Active"),1,0)</f>
        <v>0</v>
      </c>
      <c r="AC630" s="30" t="n">
        <f aca="false">IF(AND(ISNUMBER($K630),ISNUMBER($L630),ISNUMBER($Q630)),IF(OR($Q630&lt;MIN($K630,$L630),$Q630&gt;MAX($K630,$L630)),1,0),0)</f>
        <v>0</v>
      </c>
      <c r="AD630" s="30" t="n">
        <f aca="false">IF(AND(ISNUMBER($T630),$P630="高"),IF($T630=3,1,0),0)</f>
        <v>0</v>
      </c>
      <c r="AE630" s="30" t="n">
        <f aca="false">IF($S630="不存在",1,0)</f>
        <v>0</v>
      </c>
      <c r="AF630" s="42" t="n">
        <f aca="false">IF(OR($H630="—",$H630=""),"—",MATCH($H630,IDX_SrcID,0))</f>
        <v>704</v>
      </c>
      <c r="AG630" s="30" t="n">
        <f aca="false">IF(AND($P630="高",OR($AD630=1,$X630=1)),1,0)</f>
        <v>0</v>
      </c>
      <c r="AH630" s="30" t="n">
        <f aca="false">IF(AND($P630="高",$AG630=0,OR($F630&lt;&gt;"原始數據",$T630&lt;&gt;1)),1,0)</f>
        <v>0</v>
      </c>
      <c r="AI630" s="42" t="str">
        <f aca="false">IF(AND($P630="高",ISNUMBER($AF630)),INDEX(IDX_SrcDate,$AF630),"—")</f>
        <v>—</v>
      </c>
      <c r="AJ630" s="30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28" t="s">
        <v>5681</v>
      </c>
      <c r="B631" s="198" t="s">
        <v>5617</v>
      </c>
      <c r="C631" s="28" t="s">
        <v>4952</v>
      </c>
      <c r="D631" s="28" t="s">
        <v>5682</v>
      </c>
      <c r="E631" s="6" t="s">
        <v>1516</v>
      </c>
      <c r="F631" s="28" t="s">
        <v>100</v>
      </c>
      <c r="G631" s="198" t="s">
        <v>3882</v>
      </c>
      <c r="H631" s="28" t="s">
        <v>5683</v>
      </c>
      <c r="I631" s="228" t="s">
        <v>5684</v>
      </c>
      <c r="J631" s="28" t="s">
        <v>5621</v>
      </c>
      <c r="K631" s="198"/>
      <c r="L631" s="198"/>
      <c r="M631" s="198" t="s">
        <v>5685</v>
      </c>
      <c r="N631" s="6" t="s">
        <v>5686</v>
      </c>
      <c r="O631" s="6" t="s">
        <v>620</v>
      </c>
      <c r="P631" s="198" t="s">
        <v>3885</v>
      </c>
      <c r="Q631" s="207" t="n">
        <f aca="false">Cap_In!F195</f>
        <v>1.3</v>
      </c>
      <c r="R631" s="177" t="n">
        <f aca="false">SRC_DEM_011</f>
        <v>15</v>
      </c>
      <c r="S631" s="42" t="str">
        <f aca="false">IF(ISNUMBER($AF631),INDEX(IDX_SrcStat,$AF631),"—")</f>
        <v>Active</v>
      </c>
      <c r="T631" s="42" t="n">
        <f aca="false">IF(ISNUMBER($AF631),INDEX(IDX_SrcGrade,$AF631),"—")</f>
        <v>1</v>
      </c>
      <c r="U631" s="42" t="s">
        <v>3886</v>
      </c>
      <c r="V631" s="30" t="n">
        <f aca="false">IF(AND($F631="原始數據",$U631&lt;&gt;"連結 SRC"),1,0)</f>
        <v>0</v>
      </c>
      <c r="W631" s="30" t="n">
        <f aca="false">IF(AND($F631="Analogy",OR($H631="—",$H631="")),1,0)</f>
        <v>0</v>
      </c>
      <c r="X631" s="30" t="n">
        <f aca="false">IF(AND(OR($F631="Analogy",$F631="Assumed"),$G631&lt;&gt;"低",$G631&lt;&gt;"高",NOT(ISNUMBER($K631)),NOT(ISNUMBER($L631)),OR($M631="—",$M631="")),1,0)</f>
        <v>0</v>
      </c>
      <c r="Y631" s="30" t="n">
        <f aca="false">IF(AND(OR($F631="Analogy",$F631="Assumed",$F631="Derived（待改公式）",$F631="Derived（公式）"),OR($N631="—",$N631="",$N631=0)),1,0)</f>
        <v>0</v>
      </c>
      <c r="Z631" s="30" t="n">
        <f aca="false">IF(AND($F631="Decision",OR($J631="—",$J631="")),1,0)</f>
        <v>0</v>
      </c>
      <c r="AA631" s="31" t="n">
        <f aca="false">IF(OR($J631="—",$J631=""),0,IF(COUNTIF(Decisions!$A$5:$A$300,$J631)=0,1,0))</f>
        <v>0</v>
      </c>
      <c r="AB631" s="30" t="n">
        <f aca="false">IF(AND($F631="原始數據",$S631&lt;&gt;"Active"),1,0)</f>
        <v>0</v>
      </c>
      <c r="AC631" s="30" t="n">
        <f aca="false">IF(AND(ISNUMBER($K631),ISNUMBER($L631),ISNUMBER($Q631)),IF(OR($Q631&lt;MIN($K631,$L631),$Q631&gt;MAX($K631,$L631)),1,0),0)</f>
        <v>0</v>
      </c>
      <c r="AD631" s="30" t="n">
        <f aca="false">IF(AND(ISNUMBER($T631),$P631="高"),IF($T631=3,1,0),0)</f>
        <v>0</v>
      </c>
      <c r="AE631" s="30" t="n">
        <f aca="false">IF($S631="不存在",1,0)</f>
        <v>0</v>
      </c>
      <c r="AF631" s="42" t="n">
        <f aca="false">IF(OR($H631="—",$H631=""),"—",MATCH($H631,IDX_SrcID,0))</f>
        <v>644</v>
      </c>
      <c r="AG631" s="30" t="n">
        <f aca="false">IF(AND($P631="高",OR($AD631=1,$X631=1)),1,0)</f>
        <v>0</v>
      </c>
      <c r="AH631" s="30" t="n">
        <f aca="false">IF(AND($P631="高",$AG631=0,OR($F631&lt;&gt;"原始數據",$T631&lt;&gt;1)),1,0)</f>
        <v>0</v>
      </c>
      <c r="AI631" s="42" t="str">
        <f aca="false">IF(AND($P631="高",ISNUMBER($AF631)),INDEX(IDX_SrcDate,$AF631),"—")</f>
        <v>—</v>
      </c>
      <c r="AJ631" s="30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28" t="s">
        <v>5687</v>
      </c>
      <c r="B632" s="198" t="s">
        <v>5617</v>
      </c>
      <c r="C632" s="28" t="s">
        <v>4952</v>
      </c>
      <c r="D632" s="28" t="s">
        <v>5688</v>
      </c>
      <c r="E632" s="6" t="s">
        <v>1520</v>
      </c>
      <c r="F632" s="28" t="s">
        <v>100</v>
      </c>
      <c r="G632" s="198" t="s">
        <v>3882</v>
      </c>
      <c r="H632" s="28" t="s">
        <v>5491</v>
      </c>
      <c r="I632" s="6" t="s">
        <v>5689</v>
      </c>
      <c r="J632" s="28" t="s">
        <v>5621</v>
      </c>
      <c r="K632" s="198"/>
      <c r="L632" s="198"/>
      <c r="M632" s="198" t="s">
        <v>5690</v>
      </c>
      <c r="N632" s="6" t="s">
        <v>5691</v>
      </c>
      <c r="O632" s="6" t="s">
        <v>620</v>
      </c>
      <c r="P632" s="198" t="s">
        <v>3885</v>
      </c>
      <c r="Q632" s="177" t="s">
        <v>620</v>
      </c>
      <c r="R632" s="177" t="n">
        <f aca="false">SRC_DEM_012</f>
        <v>2.5</v>
      </c>
      <c r="S632" s="42" t="str">
        <f aca="false">IF(ISNUMBER($AF632),INDEX(IDX_SrcStat,$AF632),"—")</f>
        <v>Active</v>
      </c>
      <c r="T632" s="42" t="n">
        <f aca="false">IF(ISNUMBER($AF632),INDEX(IDX_SrcGrade,$AF632),"—")</f>
        <v>2</v>
      </c>
      <c r="U632" s="28" t="s">
        <v>620</v>
      </c>
      <c r="V632" s="30" t="n">
        <f aca="false">IF(AND($F632="原始數據",$U632&lt;&gt;"連結 SRC"),1,0)</f>
        <v>0</v>
      </c>
      <c r="W632" s="30" t="n">
        <f aca="false">IF(AND($F632="Analogy",OR($H632="—",$H632="")),1,0)</f>
        <v>0</v>
      </c>
      <c r="X632" s="30" t="n">
        <f aca="false">IF(AND(OR($F632="Analogy",$F632="Assumed"),$G632&lt;&gt;"低",$G632&lt;&gt;"高",NOT(ISNUMBER($K632)),NOT(ISNUMBER($L632)),OR($M632="—",$M632="")),1,0)</f>
        <v>0</v>
      </c>
      <c r="Y632" s="30" t="n">
        <f aca="false">IF(AND(OR($F632="Analogy",$F632="Assumed",$F632="Derived（待改公式）",$F632="Derived（公式）"),OR($N632="—",$N632="",$N632=0)),1,0)</f>
        <v>0</v>
      </c>
      <c r="Z632" s="30" t="n">
        <f aca="false">IF(AND($F632="Decision",OR($J632="—",$J632="")),1,0)</f>
        <v>0</v>
      </c>
      <c r="AA632" s="31" t="n">
        <f aca="false">IF(OR($J632="—",$J632=""),0,IF(COUNTIF(Decisions!$A$5:$A$300,$J632)=0,1,0))</f>
        <v>0</v>
      </c>
      <c r="AB632" s="30" t="n">
        <f aca="false">IF(AND($F632="原始數據",$S632&lt;&gt;"Active"),1,0)</f>
        <v>0</v>
      </c>
      <c r="AC632" s="30" t="n">
        <f aca="false">IF(AND(ISNUMBER($K632),ISNUMBER($L632),ISNUMBER($Q632)),IF(OR($Q632&lt;MIN($K632,$L632),$Q632&gt;MAX($K632,$L632)),1,0),0)</f>
        <v>0</v>
      </c>
      <c r="AD632" s="30" t="n">
        <f aca="false">IF(AND(ISNUMBER($T632),$P632="高"),IF($T632=3,1,0),0)</f>
        <v>0</v>
      </c>
      <c r="AE632" s="30" t="n">
        <f aca="false">IF($S632="不存在",1,0)</f>
        <v>0</v>
      </c>
      <c r="AF632" s="42" t="n">
        <f aca="false">IF(OR($H632="—",$H632=""),"—",MATCH($H632,IDX_SrcID,0))</f>
        <v>645</v>
      </c>
      <c r="AG632" s="30" t="n">
        <f aca="false">IF(AND($P632="高",OR($AD632=1,$X632=1)),1,0)</f>
        <v>0</v>
      </c>
      <c r="AH632" s="30" t="n">
        <f aca="false">IF(AND($P632="高",$AG632=0,OR($F632&lt;&gt;"原始數據",$T632&lt;&gt;1)),1,0)</f>
        <v>0</v>
      </c>
      <c r="AI632" s="42" t="str">
        <f aca="false">IF(AND($P632="高",ISNUMBER($AF632)),INDEX(IDX_SrcDate,$AF632),"—")</f>
        <v>—</v>
      </c>
      <c r="AJ632" s="30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28" t="s">
        <v>5692</v>
      </c>
      <c r="B633" s="198" t="s">
        <v>5617</v>
      </c>
      <c r="C633" s="28" t="s">
        <v>4952</v>
      </c>
      <c r="D633" s="28" t="s">
        <v>5693</v>
      </c>
      <c r="E633" s="228" t="s">
        <v>5694</v>
      </c>
      <c r="F633" s="198" t="s">
        <v>5695</v>
      </c>
      <c r="G633" s="198" t="s">
        <v>3882</v>
      </c>
      <c r="H633" s="28" t="s">
        <v>620</v>
      </c>
      <c r="I633" s="6" t="s">
        <v>620</v>
      </c>
      <c r="J633" s="28" t="s">
        <v>5621</v>
      </c>
      <c r="K633" s="198"/>
      <c r="L633" s="198"/>
      <c r="M633" s="198" t="s">
        <v>5696</v>
      </c>
      <c r="N633" s="6" t="s">
        <v>5697</v>
      </c>
      <c r="O633" s="6" t="s">
        <v>620</v>
      </c>
      <c r="P633" s="198" t="s">
        <v>3885</v>
      </c>
      <c r="Q633" s="177" t="s">
        <v>620</v>
      </c>
      <c r="R633" s="28" t="s">
        <v>620</v>
      </c>
      <c r="S633" s="42" t="str">
        <f aca="false">IF(ISNUMBER($AF633),INDEX(IDX_SrcStat,$AF633),"—")</f>
        <v>—</v>
      </c>
      <c r="T633" s="42" t="str">
        <f aca="false">IF(ISNUMBER($AF633),INDEX(IDX_SrcGrade,$AF633),"—")</f>
        <v>—</v>
      </c>
      <c r="U633" s="28" t="s">
        <v>620</v>
      </c>
      <c r="V633" s="30" t="n">
        <f aca="false">IF(AND($F633="原始數據",$U633&lt;&gt;"連結 SRC"),1,0)</f>
        <v>0</v>
      </c>
      <c r="W633" s="30" t="n">
        <f aca="false">IF(AND($F633="Analogy",OR($H633="—",$H633="")),1,0)</f>
        <v>0</v>
      </c>
      <c r="X633" s="30" t="n">
        <f aca="false">IF(AND(OR($F633="Analogy",$F633="Assumed"),$G633&lt;&gt;"低",$G633&lt;&gt;"高",NOT(ISNUMBER($K633)),NOT(ISNUMBER($L633)),OR($M633="—",$M633="")),1,0)</f>
        <v>0</v>
      </c>
      <c r="Y633" s="30" t="n">
        <f aca="false">IF(AND(OR($F633="Analogy",$F633="Assumed",$F633="Derived（待改公式）",$F633="Derived（公式）"),OR($N633="—",$N633="",$N633=0)),1,0)</f>
        <v>0</v>
      </c>
      <c r="Z633" s="30" t="n">
        <f aca="false">IF(AND($F633="Decision",OR($J633="—",$J633="")),1,0)</f>
        <v>0</v>
      </c>
      <c r="AA633" s="31" t="n">
        <f aca="false">IF(OR($J633="—",$J633=""),0,IF(COUNTIF(Decisions!$A$5:$A$300,$J633)=0,1,0))</f>
        <v>0</v>
      </c>
      <c r="AB633" s="30" t="n">
        <f aca="false">IF(AND($F633="原始數據",$S633&lt;&gt;"Active"),1,0)</f>
        <v>0</v>
      </c>
      <c r="AC633" s="30" t="n">
        <f aca="false">IF(AND(ISNUMBER($K633),ISNUMBER($L633),ISNUMBER($Q633)),IF(OR($Q633&lt;MIN($K633,$L633),$Q633&gt;MAX($K633,$L633)),1,0),0)</f>
        <v>0</v>
      </c>
      <c r="AD633" s="30" t="n">
        <f aca="false">IF(AND(ISNUMBER($T633),$P633="高"),IF($T633=3,1,0),0)</f>
        <v>0</v>
      </c>
      <c r="AE633" s="30" t="n">
        <f aca="false">IF($S633="不存在",1,0)</f>
        <v>0</v>
      </c>
      <c r="AF633" s="42" t="str">
        <f aca="false">IF(OR($H633="—",$H633=""),"—",MATCH($H633,IDX_SrcID,0))</f>
        <v>—</v>
      </c>
      <c r="AG633" s="30" t="n">
        <f aca="false">IF(AND($P633="高",OR($AD633=1,$X633=1)),1,0)</f>
        <v>0</v>
      </c>
      <c r="AH633" s="30" t="n">
        <f aca="false">IF(AND($P633="高",$AG633=0,OR($F633&lt;&gt;"原始數據",$T633&lt;&gt;1)),1,0)</f>
        <v>0</v>
      </c>
      <c r="AI633" s="42" t="str">
        <f aca="false">IF(AND($P633="高",ISNUMBER($AF633)),INDEX(IDX_SrcDate,$AF633),"—")</f>
        <v>—</v>
      </c>
      <c r="AJ633" s="30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28" t="s">
        <v>5698</v>
      </c>
      <c r="B634" s="198" t="s">
        <v>5617</v>
      </c>
      <c r="C634" s="28" t="s">
        <v>4952</v>
      </c>
      <c r="D634" s="28" t="s">
        <v>5699</v>
      </c>
      <c r="E634" s="6" t="s">
        <v>1548</v>
      </c>
      <c r="F634" s="28" t="s">
        <v>100</v>
      </c>
      <c r="G634" s="198" t="s">
        <v>3882</v>
      </c>
      <c r="H634" s="28" t="s">
        <v>620</v>
      </c>
      <c r="I634" s="6" t="s">
        <v>620</v>
      </c>
      <c r="J634" s="28" t="s">
        <v>5621</v>
      </c>
      <c r="K634" s="198"/>
      <c r="L634" s="198"/>
      <c r="M634" s="198" t="s">
        <v>5700</v>
      </c>
      <c r="N634" s="6" t="s">
        <v>5701</v>
      </c>
      <c r="O634" s="6" t="s">
        <v>620</v>
      </c>
      <c r="P634" s="198" t="s">
        <v>3885</v>
      </c>
      <c r="Q634" s="189" t="n">
        <f aca="false">Cap_In!D211</f>
        <v>0.25</v>
      </c>
      <c r="R634" s="28" t="s">
        <v>620</v>
      </c>
      <c r="S634" s="42" t="str">
        <f aca="false">IF(ISNUMBER($AF634),INDEX(IDX_SrcStat,$AF634),"—")</f>
        <v>—</v>
      </c>
      <c r="T634" s="42" t="str">
        <f aca="false">IF(ISNUMBER($AF634),INDEX(IDX_SrcGrade,$AF634),"—")</f>
        <v>—</v>
      </c>
      <c r="U634" s="42" t="s">
        <v>3886</v>
      </c>
      <c r="V634" s="30" t="n">
        <f aca="false">IF(AND($F634="原始數據",$U634&lt;&gt;"連結 SRC"),1,0)</f>
        <v>0</v>
      </c>
      <c r="W634" s="30" t="n">
        <f aca="false">IF(AND($F634="Analogy",OR($H634="—",$H634="")),1,0)</f>
        <v>0</v>
      </c>
      <c r="X634" s="30" t="n">
        <f aca="false">IF(AND(OR($F634="Analogy",$F634="Assumed"),$G634&lt;&gt;"低",$G634&lt;&gt;"高",NOT(ISNUMBER($K634)),NOT(ISNUMBER($L634)),OR($M634="—",$M634="")),1,0)</f>
        <v>0</v>
      </c>
      <c r="Y634" s="30" t="n">
        <f aca="false">IF(AND(OR($F634="Analogy",$F634="Assumed",$F634="Derived（待改公式）",$F634="Derived（公式）"),OR($N634="—",$N634="",$N634=0)),1,0)</f>
        <v>0</v>
      </c>
      <c r="Z634" s="30" t="n">
        <f aca="false">IF(AND($F634="Decision",OR($J634="—",$J634="")),1,0)</f>
        <v>0</v>
      </c>
      <c r="AA634" s="31" t="n">
        <f aca="false">IF(OR($J634="—",$J634=""),0,IF(COUNTIF(Decisions!$A$5:$A$300,$J634)=0,1,0))</f>
        <v>0</v>
      </c>
      <c r="AB634" s="30" t="n">
        <f aca="false">IF(AND($F634="原始數據",$S634&lt;&gt;"Active"),1,0)</f>
        <v>0</v>
      </c>
      <c r="AC634" s="30" t="n">
        <f aca="false">IF(AND(ISNUMBER($K634),ISNUMBER($L634),ISNUMBER($Q634)),IF(OR($Q634&lt;MIN($K634,$L634),$Q634&gt;MAX($K634,$L634)),1,0),0)</f>
        <v>0</v>
      </c>
      <c r="AD634" s="30" t="n">
        <f aca="false">IF(AND(ISNUMBER($T634),$P634="高"),IF($T634=3,1,0),0)</f>
        <v>0</v>
      </c>
      <c r="AE634" s="30" t="n">
        <f aca="false">IF($S634="不存在",1,0)</f>
        <v>0</v>
      </c>
      <c r="AF634" s="42" t="str">
        <f aca="false">IF(OR($H634="—",$H634=""),"—",MATCH($H634,IDX_SrcID,0))</f>
        <v>—</v>
      </c>
      <c r="AG634" s="30" t="n">
        <f aca="false">IF(AND($P634="高",OR($AD634=1,$X634=1)),1,0)</f>
        <v>0</v>
      </c>
      <c r="AH634" s="30" t="n">
        <f aca="false">IF(AND($P634="高",$AG634=0,OR($F634&lt;&gt;"原始數據",$T634&lt;&gt;1)),1,0)</f>
        <v>0</v>
      </c>
      <c r="AI634" s="42" t="str">
        <f aca="false">IF(AND($P634="高",ISNUMBER($AF634)),INDEX(IDX_SrcDate,$AF634),"—")</f>
        <v>—</v>
      </c>
      <c r="AJ634" s="30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28" t="s">
        <v>5702</v>
      </c>
      <c r="B635" s="198" t="s">
        <v>5617</v>
      </c>
      <c r="C635" s="28" t="s">
        <v>4952</v>
      </c>
      <c r="D635" s="28" t="s">
        <v>5703</v>
      </c>
      <c r="E635" s="6" t="s">
        <v>1550</v>
      </c>
      <c r="F635" s="28" t="s">
        <v>100</v>
      </c>
      <c r="G635" s="198" t="s">
        <v>3882</v>
      </c>
      <c r="H635" s="28" t="s">
        <v>620</v>
      </c>
      <c r="I635" s="6" t="s">
        <v>620</v>
      </c>
      <c r="J635" s="28" t="s">
        <v>5621</v>
      </c>
      <c r="K635" s="198"/>
      <c r="L635" s="198"/>
      <c r="M635" s="198" t="s">
        <v>5704</v>
      </c>
      <c r="N635" s="6" t="s">
        <v>5701</v>
      </c>
      <c r="O635" s="6" t="s">
        <v>620</v>
      </c>
      <c r="P635" s="198" t="s">
        <v>3885</v>
      </c>
      <c r="Q635" s="189" t="n">
        <f aca="false">Cap_In!D212</f>
        <v>0.45</v>
      </c>
      <c r="R635" s="28" t="s">
        <v>620</v>
      </c>
      <c r="S635" s="42" t="str">
        <f aca="false">IF(ISNUMBER($AF635),INDEX(IDX_SrcStat,$AF635),"—")</f>
        <v>—</v>
      </c>
      <c r="T635" s="42" t="str">
        <f aca="false">IF(ISNUMBER($AF635),INDEX(IDX_SrcGrade,$AF635),"—")</f>
        <v>—</v>
      </c>
      <c r="U635" s="42" t="s">
        <v>3886</v>
      </c>
      <c r="V635" s="30" t="n">
        <f aca="false">IF(AND($F635="原始數據",$U635&lt;&gt;"連結 SRC"),1,0)</f>
        <v>0</v>
      </c>
      <c r="W635" s="30" t="n">
        <f aca="false">IF(AND($F635="Analogy",OR($H635="—",$H635="")),1,0)</f>
        <v>0</v>
      </c>
      <c r="X635" s="30" t="n">
        <f aca="false">IF(AND(OR($F635="Analogy",$F635="Assumed"),$G635&lt;&gt;"低",$G635&lt;&gt;"高",NOT(ISNUMBER($K635)),NOT(ISNUMBER($L635)),OR($M635="—",$M635="")),1,0)</f>
        <v>0</v>
      </c>
      <c r="Y635" s="30" t="n">
        <f aca="false">IF(AND(OR($F635="Analogy",$F635="Assumed",$F635="Derived（待改公式）",$F635="Derived（公式）"),OR($N635="—",$N635="",$N635=0)),1,0)</f>
        <v>0</v>
      </c>
      <c r="Z635" s="30" t="n">
        <f aca="false">IF(AND($F635="Decision",OR($J635="—",$J635="")),1,0)</f>
        <v>0</v>
      </c>
      <c r="AA635" s="31" t="n">
        <f aca="false">IF(OR($J635="—",$J635=""),0,IF(COUNTIF(Decisions!$A$5:$A$300,$J635)=0,1,0))</f>
        <v>0</v>
      </c>
      <c r="AB635" s="30" t="n">
        <f aca="false">IF(AND($F635="原始數據",$S635&lt;&gt;"Active"),1,0)</f>
        <v>0</v>
      </c>
      <c r="AC635" s="30" t="n">
        <f aca="false">IF(AND(ISNUMBER($K635),ISNUMBER($L635),ISNUMBER($Q635)),IF(OR($Q635&lt;MIN($K635,$L635),$Q635&gt;MAX($K635,$L635)),1,0),0)</f>
        <v>0</v>
      </c>
      <c r="AD635" s="30" t="n">
        <f aca="false">IF(AND(ISNUMBER($T635),$P635="高"),IF($T635=3,1,0),0)</f>
        <v>0</v>
      </c>
      <c r="AE635" s="30" t="n">
        <f aca="false">IF($S635="不存在",1,0)</f>
        <v>0</v>
      </c>
      <c r="AF635" s="42" t="str">
        <f aca="false">IF(OR($H635="—",$H635=""),"—",MATCH($H635,IDX_SrcID,0))</f>
        <v>—</v>
      </c>
      <c r="AG635" s="30" t="n">
        <f aca="false">IF(AND($P635="高",OR($AD635=1,$X635=1)),1,0)</f>
        <v>0</v>
      </c>
      <c r="AH635" s="30" t="n">
        <f aca="false">IF(AND($P635="高",$AG635=0,OR($F635&lt;&gt;"原始數據",$T635&lt;&gt;1)),1,0)</f>
        <v>0</v>
      </c>
      <c r="AI635" s="42" t="str">
        <f aca="false">IF(AND($P635="高",ISNUMBER($AF635)),INDEX(IDX_SrcDate,$AF635),"—")</f>
        <v>—</v>
      </c>
      <c r="AJ635" s="30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28" t="s">
        <v>5705</v>
      </c>
      <c r="B636" s="198" t="s">
        <v>5617</v>
      </c>
      <c r="C636" s="28" t="s">
        <v>4952</v>
      </c>
      <c r="D636" s="28" t="s">
        <v>5706</v>
      </c>
      <c r="E636" s="6" t="s">
        <v>1552</v>
      </c>
      <c r="F636" s="28" t="s">
        <v>100</v>
      </c>
      <c r="G636" s="198" t="s">
        <v>3882</v>
      </c>
      <c r="H636" s="28" t="s">
        <v>620</v>
      </c>
      <c r="I636" s="6" t="s">
        <v>620</v>
      </c>
      <c r="J636" s="28" t="s">
        <v>5621</v>
      </c>
      <c r="K636" s="198"/>
      <c r="L636" s="198"/>
      <c r="M636" s="198" t="s">
        <v>5700</v>
      </c>
      <c r="N636" s="6" t="s">
        <v>5701</v>
      </c>
      <c r="O636" s="6" t="s">
        <v>620</v>
      </c>
      <c r="P636" s="198" t="s">
        <v>3885</v>
      </c>
      <c r="Q636" s="189" t="n">
        <f aca="false">Cap_In!D213</f>
        <v>0.25</v>
      </c>
      <c r="R636" s="28" t="s">
        <v>620</v>
      </c>
      <c r="S636" s="42" t="str">
        <f aca="false">IF(ISNUMBER($AF636),INDEX(IDX_SrcStat,$AF636),"—")</f>
        <v>—</v>
      </c>
      <c r="T636" s="42" t="str">
        <f aca="false">IF(ISNUMBER($AF636),INDEX(IDX_SrcGrade,$AF636),"—")</f>
        <v>—</v>
      </c>
      <c r="U636" s="42" t="s">
        <v>3886</v>
      </c>
      <c r="V636" s="30" t="n">
        <f aca="false">IF(AND($F636="原始數據",$U636&lt;&gt;"連結 SRC"),1,0)</f>
        <v>0</v>
      </c>
      <c r="W636" s="30" t="n">
        <f aca="false">IF(AND($F636="Analogy",OR($H636="—",$H636="")),1,0)</f>
        <v>0</v>
      </c>
      <c r="X636" s="30" t="n">
        <f aca="false">IF(AND(OR($F636="Analogy",$F636="Assumed"),$G636&lt;&gt;"低",$G636&lt;&gt;"高",NOT(ISNUMBER($K636)),NOT(ISNUMBER($L636)),OR($M636="—",$M636="")),1,0)</f>
        <v>0</v>
      </c>
      <c r="Y636" s="30" t="n">
        <f aca="false">IF(AND(OR($F636="Analogy",$F636="Assumed",$F636="Derived（待改公式）",$F636="Derived（公式）"),OR($N636="—",$N636="",$N636=0)),1,0)</f>
        <v>0</v>
      </c>
      <c r="Z636" s="30" t="n">
        <f aca="false">IF(AND($F636="Decision",OR($J636="—",$J636="")),1,0)</f>
        <v>0</v>
      </c>
      <c r="AA636" s="31" t="n">
        <f aca="false">IF(OR($J636="—",$J636=""),0,IF(COUNTIF(Decisions!$A$5:$A$300,$J636)=0,1,0))</f>
        <v>0</v>
      </c>
      <c r="AB636" s="30" t="n">
        <f aca="false">IF(AND($F636="原始數據",$S636&lt;&gt;"Active"),1,0)</f>
        <v>0</v>
      </c>
      <c r="AC636" s="30" t="n">
        <f aca="false">IF(AND(ISNUMBER($K636),ISNUMBER($L636),ISNUMBER($Q636)),IF(OR($Q636&lt;MIN($K636,$L636),$Q636&gt;MAX($K636,$L636)),1,0),0)</f>
        <v>0</v>
      </c>
      <c r="AD636" s="30" t="n">
        <f aca="false">IF(AND(ISNUMBER($T636),$P636="高"),IF($T636=3,1,0),0)</f>
        <v>0</v>
      </c>
      <c r="AE636" s="30" t="n">
        <f aca="false">IF($S636="不存在",1,0)</f>
        <v>0</v>
      </c>
      <c r="AF636" s="42" t="str">
        <f aca="false">IF(OR($H636="—",$H636=""),"—",MATCH($H636,IDX_SrcID,0))</f>
        <v>—</v>
      </c>
      <c r="AG636" s="30" t="n">
        <f aca="false">IF(AND($P636="高",OR($AD636=1,$X636=1)),1,0)</f>
        <v>0</v>
      </c>
      <c r="AH636" s="30" t="n">
        <f aca="false">IF(AND($P636="高",$AG636=0,OR($F636&lt;&gt;"原始數據",$T636&lt;&gt;1)),1,0)</f>
        <v>0</v>
      </c>
      <c r="AI636" s="42" t="str">
        <f aca="false">IF(AND($P636="高",ISNUMBER($AF636)),INDEX(IDX_SrcDate,$AF636),"—")</f>
        <v>—</v>
      </c>
      <c r="AJ636" s="30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28" t="s">
        <v>5707</v>
      </c>
      <c r="B637" s="198" t="s">
        <v>5617</v>
      </c>
      <c r="C637" s="28" t="s">
        <v>4952</v>
      </c>
      <c r="D637" s="28" t="s">
        <v>5708</v>
      </c>
      <c r="E637" s="6" t="s">
        <v>1554</v>
      </c>
      <c r="F637" s="28" t="s">
        <v>100</v>
      </c>
      <c r="G637" s="198" t="s">
        <v>3882</v>
      </c>
      <c r="H637" s="28" t="s">
        <v>620</v>
      </c>
      <c r="I637" s="6" t="s">
        <v>620</v>
      </c>
      <c r="J637" s="28" t="s">
        <v>5621</v>
      </c>
      <c r="K637" s="198"/>
      <c r="L637" s="198"/>
      <c r="M637" s="198" t="s">
        <v>5709</v>
      </c>
      <c r="N637" s="6" t="s">
        <v>5701</v>
      </c>
      <c r="O637" s="6" t="s">
        <v>620</v>
      </c>
      <c r="P637" s="198" t="s">
        <v>3885</v>
      </c>
      <c r="Q637" s="189" t="n">
        <f aca="false">Cap_In!D214</f>
        <v>0.05</v>
      </c>
      <c r="R637" s="28" t="s">
        <v>620</v>
      </c>
      <c r="S637" s="42" t="str">
        <f aca="false">IF(ISNUMBER($AF637),INDEX(IDX_SrcStat,$AF637),"—")</f>
        <v>—</v>
      </c>
      <c r="T637" s="42" t="str">
        <f aca="false">IF(ISNUMBER($AF637),INDEX(IDX_SrcGrade,$AF637),"—")</f>
        <v>—</v>
      </c>
      <c r="U637" s="42" t="s">
        <v>3886</v>
      </c>
      <c r="V637" s="30" t="n">
        <f aca="false">IF(AND($F637="原始數據",$U637&lt;&gt;"連結 SRC"),1,0)</f>
        <v>0</v>
      </c>
      <c r="W637" s="30" t="n">
        <f aca="false">IF(AND($F637="Analogy",OR($H637="—",$H637="")),1,0)</f>
        <v>0</v>
      </c>
      <c r="X637" s="30" t="n">
        <f aca="false">IF(AND(OR($F637="Analogy",$F637="Assumed"),$G637&lt;&gt;"低",$G637&lt;&gt;"高",NOT(ISNUMBER($K637)),NOT(ISNUMBER($L637)),OR($M637="—",$M637="")),1,0)</f>
        <v>0</v>
      </c>
      <c r="Y637" s="30" t="n">
        <f aca="false">IF(AND(OR($F637="Analogy",$F637="Assumed",$F637="Derived（待改公式）",$F637="Derived（公式）"),OR($N637="—",$N637="",$N637=0)),1,0)</f>
        <v>0</v>
      </c>
      <c r="Z637" s="30" t="n">
        <f aca="false">IF(AND($F637="Decision",OR($J637="—",$J637="")),1,0)</f>
        <v>0</v>
      </c>
      <c r="AA637" s="31" t="n">
        <f aca="false">IF(OR($J637="—",$J637=""),0,IF(COUNTIF(Decisions!$A$5:$A$300,$J637)=0,1,0))</f>
        <v>0</v>
      </c>
      <c r="AB637" s="30" t="n">
        <f aca="false">IF(AND($F637="原始數據",$S637&lt;&gt;"Active"),1,0)</f>
        <v>0</v>
      </c>
      <c r="AC637" s="30" t="n">
        <f aca="false">IF(AND(ISNUMBER($K637),ISNUMBER($L637),ISNUMBER($Q637)),IF(OR($Q637&lt;MIN($K637,$L637),$Q637&gt;MAX($K637,$L637)),1,0),0)</f>
        <v>0</v>
      </c>
      <c r="AD637" s="30" t="n">
        <f aca="false">IF(AND(ISNUMBER($T637),$P637="高"),IF($T637=3,1,0),0)</f>
        <v>0</v>
      </c>
      <c r="AE637" s="30" t="n">
        <f aca="false">IF($S637="不存在",1,0)</f>
        <v>0</v>
      </c>
      <c r="AF637" s="42" t="str">
        <f aca="false">IF(OR($H637="—",$H637=""),"—",MATCH($H637,IDX_SrcID,0))</f>
        <v>—</v>
      </c>
      <c r="AG637" s="30" t="n">
        <f aca="false">IF(AND($P637="高",OR($AD637=1,$X637=1)),1,0)</f>
        <v>0</v>
      </c>
      <c r="AH637" s="30" t="n">
        <f aca="false">IF(AND($P637="高",$AG637=0,OR($F637&lt;&gt;"原始數據",$T637&lt;&gt;1)),1,0)</f>
        <v>0</v>
      </c>
      <c r="AI637" s="42" t="str">
        <f aca="false">IF(AND($P637="高",ISNUMBER($AF637)),INDEX(IDX_SrcDate,$AF637),"—")</f>
        <v>—</v>
      </c>
      <c r="AJ637" s="30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28" t="s">
        <v>5710</v>
      </c>
      <c r="B638" s="198" t="s">
        <v>5711</v>
      </c>
      <c r="C638" s="28" t="s">
        <v>4952</v>
      </c>
      <c r="D638" s="28" t="s">
        <v>5712</v>
      </c>
      <c r="E638" s="228" t="s">
        <v>5713</v>
      </c>
      <c r="F638" s="28" t="s">
        <v>100</v>
      </c>
      <c r="G638" s="198" t="s">
        <v>85</v>
      </c>
      <c r="H638" s="28" t="s">
        <v>620</v>
      </c>
      <c r="I638" s="6" t="s">
        <v>620</v>
      </c>
      <c r="J638" s="28" t="s">
        <v>5714</v>
      </c>
      <c r="K638" s="189" t="n">
        <f aca="false">Cap_In!D226</f>
        <v>-0.25</v>
      </c>
      <c r="L638" s="189" t="n">
        <f aca="false">Cap_In!E226</f>
        <v>0.05</v>
      </c>
      <c r="M638" s="28" t="s">
        <v>5715</v>
      </c>
      <c r="N638" s="6" t="s">
        <v>5716</v>
      </c>
      <c r="O638" s="6" t="s">
        <v>620</v>
      </c>
      <c r="P638" s="198" t="s">
        <v>3885</v>
      </c>
      <c r="Q638" s="189" t="n">
        <f aca="false">Cap_In!C226</f>
        <v>-0.1</v>
      </c>
      <c r="R638" s="28" t="s">
        <v>620</v>
      </c>
      <c r="S638" s="42" t="str">
        <f aca="false">IF(ISNUMBER($AF638),INDEX(IDX_SrcStat,$AF638),"—")</f>
        <v>—</v>
      </c>
      <c r="T638" s="42" t="str">
        <f aca="false">IF(ISNUMBER($AF638),INDEX(IDX_SrcGrade,$AF638),"—")</f>
        <v>—</v>
      </c>
      <c r="U638" s="42" t="s">
        <v>3886</v>
      </c>
      <c r="V638" s="30" t="n">
        <f aca="false">IF(AND($F638="原始數據",$U638&lt;&gt;"連結 SRC"),1,0)</f>
        <v>0</v>
      </c>
      <c r="W638" s="30" t="n">
        <f aca="false">IF(AND($F638="Analogy",OR($H638="—",$H638="")),1,0)</f>
        <v>0</v>
      </c>
      <c r="X638" s="30" t="n">
        <f aca="false">IF(AND(OR($F638="Analogy",$F638="Assumed"),$G638&lt;&gt;"低",$G638&lt;&gt;"高",NOT(ISNUMBER($K638)),NOT(ISNUMBER($L638)),OR($M638="—",$M638="")),1,0)</f>
        <v>0</v>
      </c>
      <c r="Y638" s="30" t="n">
        <f aca="false">IF(AND(OR($F638="Analogy",$F638="Assumed",$F638="Derived（待改公式）",$F638="Derived（公式）"),OR($N638="—",$N638="",$N638=0)),1,0)</f>
        <v>0</v>
      </c>
      <c r="Z638" s="30" t="n">
        <f aca="false">IF(AND($F638="Decision",OR($J638="—",$J638="")),1,0)</f>
        <v>0</v>
      </c>
      <c r="AA638" s="31" t="n">
        <f aca="false">IF(OR($J638="—",$J638=""),0,IF(COUNTIF(Decisions!$A$5:$A$300,$J638)=0,1,0))</f>
        <v>0</v>
      </c>
      <c r="AB638" s="30" t="n">
        <f aca="false">IF(AND($F638="原始數據",$S638&lt;&gt;"Active"),1,0)</f>
        <v>0</v>
      </c>
      <c r="AC638" s="30" t="n">
        <f aca="false">IF(AND(ISNUMBER($K638),ISNUMBER($L638),ISNUMBER($Q638)),IF(OR($Q638&lt;MIN($K638,$L638),$Q638&gt;MAX($K638,$L638)),1,0),0)</f>
        <v>0</v>
      </c>
      <c r="AD638" s="30" t="n">
        <f aca="false">IF(AND(ISNUMBER($T638),$P638="高"),IF($T638=3,1,0),0)</f>
        <v>0</v>
      </c>
      <c r="AE638" s="30" t="n">
        <f aca="false">IF($S638="不存在",1,0)</f>
        <v>0</v>
      </c>
      <c r="AF638" s="42" t="str">
        <f aca="false">IF(OR($H638="—",$H638=""),"—",MATCH($H638,IDX_SrcID,0))</f>
        <v>—</v>
      </c>
      <c r="AG638" s="30" t="n">
        <f aca="false">IF(AND($P638="高",OR($AD638=1,$X638=1)),1,0)</f>
        <v>0</v>
      </c>
      <c r="AH638" s="30" t="n">
        <f aca="false">IF(AND($P638="高",$AG638=0,OR($F638&lt;&gt;"原始數據",$T638&lt;&gt;1)),1,0)</f>
        <v>0</v>
      </c>
      <c r="AI638" s="42" t="str">
        <f aca="false">IF(AND($P638="高",ISNUMBER($AF638)),INDEX(IDX_SrcDate,$AF638),"—")</f>
        <v>—</v>
      </c>
      <c r="AJ638" s="30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28" t="s">
        <v>5717</v>
      </c>
      <c r="B639" s="198" t="s">
        <v>5711</v>
      </c>
      <c r="C639" s="28" t="s">
        <v>4952</v>
      </c>
      <c r="D639" s="28" t="s">
        <v>5718</v>
      </c>
      <c r="E639" s="228" t="s">
        <v>5713</v>
      </c>
      <c r="F639" s="28" t="s">
        <v>100</v>
      </c>
      <c r="G639" s="198" t="s">
        <v>4958</v>
      </c>
      <c r="H639" s="28" t="s">
        <v>620</v>
      </c>
      <c r="I639" s="6" t="s">
        <v>620</v>
      </c>
      <c r="J639" s="28" t="s">
        <v>5714</v>
      </c>
      <c r="K639" s="198"/>
      <c r="L639" s="198"/>
      <c r="M639" s="28" t="s">
        <v>5719</v>
      </c>
      <c r="N639" s="6" t="s">
        <v>5716</v>
      </c>
      <c r="O639" s="6" t="s">
        <v>620</v>
      </c>
      <c r="P639" s="198" t="s">
        <v>3885</v>
      </c>
      <c r="Q639" s="177" t="s">
        <v>620</v>
      </c>
      <c r="R639" s="28" t="s">
        <v>620</v>
      </c>
      <c r="S639" s="42" t="str">
        <f aca="false">IF(ISNUMBER($AF639),INDEX(IDX_SrcStat,$AF639),"—")</f>
        <v>—</v>
      </c>
      <c r="T639" s="42" t="str">
        <f aca="false">IF(ISNUMBER($AF639),INDEX(IDX_SrcGrade,$AF639),"—")</f>
        <v>—</v>
      </c>
      <c r="U639" s="28" t="s">
        <v>620</v>
      </c>
      <c r="V639" s="30" t="n">
        <f aca="false">IF(AND($F639="原始數據",$U639&lt;&gt;"連結 SRC"),1,0)</f>
        <v>0</v>
      </c>
      <c r="W639" s="30" t="n">
        <f aca="false">IF(AND($F639="Analogy",OR($H639="—",$H639="")),1,0)</f>
        <v>0</v>
      </c>
      <c r="X639" s="30" t="n">
        <f aca="false">IF(AND(OR($F639="Analogy",$F639="Assumed"),$G639&lt;&gt;"低",$G639&lt;&gt;"高",NOT(ISNUMBER($K639)),NOT(ISNUMBER($L639)),OR($M639="—",$M639="")),1,0)</f>
        <v>0</v>
      </c>
      <c r="Y639" s="30" t="n">
        <f aca="false">IF(AND(OR($F639="Analogy",$F639="Assumed",$F639="Derived（待改公式）",$F639="Derived（公式）"),OR($N639="—",$N639="",$N639=0)),1,0)</f>
        <v>0</v>
      </c>
      <c r="Z639" s="30" t="n">
        <f aca="false">IF(AND($F639="Decision",OR($J639="—",$J639="")),1,0)</f>
        <v>0</v>
      </c>
      <c r="AA639" s="31" t="n">
        <f aca="false">IF(OR($J639="—",$J639=""),0,IF(COUNTIF(Decisions!$A$5:$A$300,$J639)=0,1,0))</f>
        <v>0</v>
      </c>
      <c r="AB639" s="30" t="n">
        <f aca="false">IF(AND($F639="原始數據",$S639&lt;&gt;"Active"),1,0)</f>
        <v>0</v>
      </c>
      <c r="AC639" s="30" t="n">
        <f aca="false">IF(AND(ISNUMBER($K639),ISNUMBER($L639),ISNUMBER($Q639)),IF(OR($Q639&lt;MIN($K639,$L639),$Q639&gt;MAX($K639,$L639)),1,0),0)</f>
        <v>0</v>
      </c>
      <c r="AD639" s="30" t="n">
        <f aca="false">IF(AND(ISNUMBER($T639),$P639="高"),IF($T639=3,1,0),0)</f>
        <v>0</v>
      </c>
      <c r="AE639" s="30" t="n">
        <f aca="false">IF($S639="不存在",1,0)</f>
        <v>0</v>
      </c>
      <c r="AF639" s="42" t="str">
        <f aca="false">IF(OR($H639="—",$H639=""),"—",MATCH($H639,IDX_SrcID,0))</f>
        <v>—</v>
      </c>
      <c r="AG639" s="30" t="n">
        <f aca="false">IF(AND($P639="高",OR($AD639=1,$X639=1)),1,0)</f>
        <v>0</v>
      </c>
      <c r="AH639" s="30" t="n">
        <f aca="false">IF(AND($P639="高",$AG639=0,OR($F639&lt;&gt;"原始數據",$T639&lt;&gt;1)),1,0)</f>
        <v>0</v>
      </c>
      <c r="AI639" s="42" t="str">
        <f aca="false">IF(AND($P639="高",ISNUMBER($AF639)),INDEX(IDX_SrcDate,$AF639),"—")</f>
        <v>—</v>
      </c>
      <c r="AJ639" s="30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28" t="s">
        <v>5720</v>
      </c>
      <c r="B640" s="198" t="s">
        <v>5711</v>
      </c>
      <c r="C640" s="28" t="s">
        <v>4952</v>
      </c>
      <c r="D640" s="28" t="s">
        <v>5721</v>
      </c>
      <c r="E640" s="228" t="s">
        <v>5722</v>
      </c>
      <c r="F640" s="28" t="s">
        <v>100</v>
      </c>
      <c r="G640" s="198" t="s">
        <v>85</v>
      </c>
      <c r="H640" s="28" t="s">
        <v>620</v>
      </c>
      <c r="I640" s="6" t="s">
        <v>620</v>
      </c>
      <c r="J640" s="28" t="s">
        <v>5714</v>
      </c>
      <c r="K640" s="31" t="n">
        <f aca="false">Cap_In!D227</f>
        <v>3</v>
      </c>
      <c r="L640" s="31" t="n">
        <f aca="false">Cap_In!E227</f>
        <v>5</v>
      </c>
      <c r="M640" s="28" t="s">
        <v>5723</v>
      </c>
      <c r="N640" s="6" t="s">
        <v>5724</v>
      </c>
      <c r="O640" s="6" t="s">
        <v>620</v>
      </c>
      <c r="P640" s="198" t="s">
        <v>3885</v>
      </c>
      <c r="Q640" s="31" t="n">
        <f aca="false">Cap_In!C227</f>
        <v>4</v>
      </c>
      <c r="R640" s="28" t="s">
        <v>620</v>
      </c>
      <c r="S640" s="42" t="str">
        <f aca="false">IF(ISNUMBER($AF640),INDEX(IDX_SrcStat,$AF640),"—")</f>
        <v>—</v>
      </c>
      <c r="T640" s="42" t="str">
        <f aca="false">IF(ISNUMBER($AF640),INDEX(IDX_SrcGrade,$AF640),"—")</f>
        <v>—</v>
      </c>
      <c r="U640" s="42" t="s">
        <v>3886</v>
      </c>
      <c r="V640" s="30" t="n">
        <f aca="false">IF(AND($F640="原始數據",$U640&lt;&gt;"連結 SRC"),1,0)</f>
        <v>0</v>
      </c>
      <c r="W640" s="30" t="n">
        <f aca="false">IF(AND($F640="Analogy",OR($H640="—",$H640="")),1,0)</f>
        <v>0</v>
      </c>
      <c r="X640" s="30" t="n">
        <f aca="false">IF(AND(OR($F640="Analogy",$F640="Assumed"),$G640&lt;&gt;"低",$G640&lt;&gt;"高",NOT(ISNUMBER($K640)),NOT(ISNUMBER($L640)),OR($M640="—",$M640="")),1,0)</f>
        <v>0</v>
      </c>
      <c r="Y640" s="30" t="n">
        <f aca="false">IF(AND(OR($F640="Analogy",$F640="Assumed",$F640="Derived（待改公式）",$F640="Derived（公式）"),OR($N640="—",$N640="",$N640=0)),1,0)</f>
        <v>0</v>
      </c>
      <c r="Z640" s="30" t="n">
        <f aca="false">IF(AND($F640="Decision",OR($J640="—",$J640="")),1,0)</f>
        <v>0</v>
      </c>
      <c r="AA640" s="31" t="n">
        <f aca="false">IF(OR($J640="—",$J640=""),0,IF(COUNTIF(Decisions!$A$5:$A$300,$J640)=0,1,0))</f>
        <v>0</v>
      </c>
      <c r="AB640" s="30" t="n">
        <f aca="false">IF(AND($F640="原始數據",$S640&lt;&gt;"Active"),1,0)</f>
        <v>0</v>
      </c>
      <c r="AC640" s="30" t="n">
        <f aca="false">IF(AND(ISNUMBER($K640),ISNUMBER($L640),ISNUMBER($Q640)),IF(OR($Q640&lt;MIN($K640,$L640),$Q640&gt;MAX($K640,$L640)),1,0),0)</f>
        <v>0</v>
      </c>
      <c r="AD640" s="30" t="n">
        <f aca="false">IF(AND(ISNUMBER($T640),$P640="高"),IF($T640=3,1,0),0)</f>
        <v>0</v>
      </c>
      <c r="AE640" s="30" t="n">
        <f aca="false">IF($S640="不存在",1,0)</f>
        <v>0</v>
      </c>
      <c r="AF640" s="42" t="str">
        <f aca="false">IF(OR($H640="—",$H640=""),"—",MATCH($H640,IDX_SrcID,0))</f>
        <v>—</v>
      </c>
      <c r="AG640" s="30" t="n">
        <f aca="false">IF(AND($P640="高",OR($AD640=1,$X640=1)),1,0)</f>
        <v>0</v>
      </c>
      <c r="AH640" s="30" t="n">
        <f aca="false">IF(AND($P640="高",$AG640=0,OR($F640&lt;&gt;"原始數據",$T640&lt;&gt;1)),1,0)</f>
        <v>0</v>
      </c>
      <c r="AI640" s="42" t="str">
        <f aca="false">IF(AND($P640="高",ISNUMBER($AF640)),INDEX(IDX_SrcDate,$AF640),"—")</f>
        <v>—</v>
      </c>
      <c r="AJ640" s="30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28" t="s">
        <v>5725</v>
      </c>
      <c r="B641" s="198" t="s">
        <v>5711</v>
      </c>
      <c r="C641" s="28" t="s">
        <v>4952</v>
      </c>
      <c r="D641" s="28" t="s">
        <v>5726</v>
      </c>
      <c r="E641" s="228" t="s">
        <v>5722</v>
      </c>
      <c r="F641" s="28" t="s">
        <v>100</v>
      </c>
      <c r="G641" s="198" t="s">
        <v>4958</v>
      </c>
      <c r="H641" s="28" t="s">
        <v>620</v>
      </c>
      <c r="I641" s="6" t="s">
        <v>620</v>
      </c>
      <c r="J641" s="28" t="s">
        <v>5714</v>
      </c>
      <c r="K641" s="198"/>
      <c r="L641" s="198"/>
      <c r="M641" s="28" t="s">
        <v>5727</v>
      </c>
      <c r="N641" s="6" t="s">
        <v>5724</v>
      </c>
      <c r="O641" s="6" t="s">
        <v>620</v>
      </c>
      <c r="P641" s="198" t="s">
        <v>3885</v>
      </c>
      <c r="Q641" s="177" t="s">
        <v>620</v>
      </c>
      <c r="R641" s="28" t="s">
        <v>620</v>
      </c>
      <c r="S641" s="42" t="str">
        <f aca="false">IF(ISNUMBER($AF641),INDEX(IDX_SrcStat,$AF641),"—")</f>
        <v>—</v>
      </c>
      <c r="T641" s="42" t="str">
        <f aca="false">IF(ISNUMBER($AF641),INDEX(IDX_SrcGrade,$AF641),"—")</f>
        <v>—</v>
      </c>
      <c r="U641" s="28" t="s">
        <v>620</v>
      </c>
      <c r="V641" s="30" t="n">
        <f aca="false">IF(AND($F641="原始數據",$U641&lt;&gt;"連結 SRC"),1,0)</f>
        <v>0</v>
      </c>
      <c r="W641" s="30" t="n">
        <f aca="false">IF(AND($F641="Analogy",OR($H641="—",$H641="")),1,0)</f>
        <v>0</v>
      </c>
      <c r="X641" s="30" t="n">
        <f aca="false">IF(AND(OR($F641="Analogy",$F641="Assumed"),$G641&lt;&gt;"低",$G641&lt;&gt;"高",NOT(ISNUMBER($K641)),NOT(ISNUMBER($L641)),OR($M641="—",$M641="")),1,0)</f>
        <v>0</v>
      </c>
      <c r="Y641" s="30" t="n">
        <f aca="false">IF(AND(OR($F641="Analogy",$F641="Assumed",$F641="Derived（待改公式）",$F641="Derived（公式）"),OR($N641="—",$N641="",$N641=0)),1,0)</f>
        <v>0</v>
      </c>
      <c r="Z641" s="30" t="n">
        <f aca="false">IF(AND($F641="Decision",OR($J641="—",$J641="")),1,0)</f>
        <v>0</v>
      </c>
      <c r="AA641" s="31" t="n">
        <f aca="false">IF(OR($J641="—",$J641=""),0,IF(COUNTIF(Decisions!$A$5:$A$300,$J641)=0,1,0))</f>
        <v>0</v>
      </c>
      <c r="AB641" s="30" t="n">
        <f aca="false">IF(AND($F641="原始數據",$S641&lt;&gt;"Active"),1,0)</f>
        <v>0</v>
      </c>
      <c r="AC641" s="30" t="n">
        <f aca="false">IF(AND(ISNUMBER($K641),ISNUMBER($L641),ISNUMBER($Q641)),IF(OR($Q641&lt;MIN($K641,$L641),$Q641&gt;MAX($K641,$L641)),1,0),0)</f>
        <v>0</v>
      </c>
      <c r="AD641" s="30" t="n">
        <f aca="false">IF(AND(ISNUMBER($T641),$P641="高"),IF($T641=3,1,0),0)</f>
        <v>0</v>
      </c>
      <c r="AE641" s="30" t="n">
        <f aca="false">IF($S641="不存在",1,0)</f>
        <v>0</v>
      </c>
      <c r="AF641" s="42" t="str">
        <f aca="false">IF(OR($H641="—",$H641=""),"—",MATCH($H641,IDX_SrcID,0))</f>
        <v>—</v>
      </c>
      <c r="AG641" s="30" t="n">
        <f aca="false">IF(AND($P641="高",OR($AD641=1,$X641=1)),1,0)</f>
        <v>0</v>
      </c>
      <c r="AH641" s="30" t="n">
        <f aca="false">IF(AND($P641="高",$AG641=0,OR($F641&lt;&gt;"原始數據",$T641&lt;&gt;1)),1,0)</f>
        <v>0</v>
      </c>
      <c r="AI641" s="42" t="str">
        <f aca="false">IF(AND($P641="高",ISNUMBER($AF641)),INDEX(IDX_SrcDate,$AF641),"—")</f>
        <v>—</v>
      </c>
      <c r="AJ641" s="30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28" t="s">
        <v>5728</v>
      </c>
      <c r="B642" s="198" t="s">
        <v>5711</v>
      </c>
      <c r="C642" s="28" t="s">
        <v>4952</v>
      </c>
      <c r="D642" s="28" t="s">
        <v>5729</v>
      </c>
      <c r="E642" s="228" t="s">
        <v>5730</v>
      </c>
      <c r="F642" s="28" t="s">
        <v>100</v>
      </c>
      <c r="G642" s="198" t="s">
        <v>85</v>
      </c>
      <c r="H642" s="28" t="s">
        <v>620</v>
      </c>
      <c r="I642" s="6" t="s">
        <v>620</v>
      </c>
      <c r="J642" s="28" t="s">
        <v>5714</v>
      </c>
      <c r="K642" s="207" t="n">
        <f aca="false">Cap_In!D228</f>
        <v>0.05</v>
      </c>
      <c r="L642" s="207" t="n">
        <f aca="false">Cap_In!E228</f>
        <v>1</v>
      </c>
      <c r="M642" s="28" t="s">
        <v>5731</v>
      </c>
      <c r="N642" s="6" t="s">
        <v>5732</v>
      </c>
      <c r="O642" s="6" t="s">
        <v>620</v>
      </c>
      <c r="P642" s="198" t="s">
        <v>3885</v>
      </c>
      <c r="Q642" s="207" t="n">
        <f aca="false">Cap_In!C228</f>
        <v>0.5</v>
      </c>
      <c r="R642" s="28" t="s">
        <v>620</v>
      </c>
      <c r="S642" s="42" t="str">
        <f aca="false">IF(ISNUMBER($AF642),INDEX(IDX_SrcStat,$AF642),"—")</f>
        <v>—</v>
      </c>
      <c r="T642" s="42" t="str">
        <f aca="false">IF(ISNUMBER($AF642),INDEX(IDX_SrcGrade,$AF642),"—")</f>
        <v>—</v>
      </c>
      <c r="U642" s="42" t="s">
        <v>3886</v>
      </c>
      <c r="V642" s="30" t="n">
        <f aca="false">IF(AND($F642="原始數據",$U642&lt;&gt;"連結 SRC"),1,0)</f>
        <v>0</v>
      </c>
      <c r="W642" s="30" t="n">
        <f aca="false">IF(AND($F642="Analogy",OR($H642="—",$H642="")),1,0)</f>
        <v>0</v>
      </c>
      <c r="X642" s="30" t="n">
        <f aca="false">IF(AND(OR($F642="Analogy",$F642="Assumed"),$G642&lt;&gt;"低",$G642&lt;&gt;"高",NOT(ISNUMBER($K642)),NOT(ISNUMBER($L642)),OR($M642="—",$M642="")),1,0)</f>
        <v>0</v>
      </c>
      <c r="Y642" s="30" t="n">
        <f aca="false">IF(AND(OR($F642="Analogy",$F642="Assumed",$F642="Derived（待改公式）",$F642="Derived（公式）"),OR($N642="—",$N642="",$N642=0)),1,0)</f>
        <v>0</v>
      </c>
      <c r="Z642" s="30" t="n">
        <f aca="false">IF(AND($F642="Decision",OR($J642="—",$J642="")),1,0)</f>
        <v>0</v>
      </c>
      <c r="AA642" s="31" t="n">
        <f aca="false">IF(OR($J642="—",$J642=""),0,IF(COUNTIF(Decisions!$A$5:$A$300,$J642)=0,1,0))</f>
        <v>0</v>
      </c>
      <c r="AB642" s="30" t="n">
        <f aca="false">IF(AND($F642="原始數據",$S642&lt;&gt;"Active"),1,0)</f>
        <v>0</v>
      </c>
      <c r="AC642" s="30" t="n">
        <f aca="false">IF(AND(ISNUMBER($K642),ISNUMBER($L642),ISNUMBER($Q642)),IF(OR($Q642&lt;MIN($K642,$L642),$Q642&gt;MAX($K642,$L642)),1,0),0)</f>
        <v>0</v>
      </c>
      <c r="AD642" s="30" t="n">
        <f aca="false">IF(AND(ISNUMBER($T642),$P642="高"),IF($T642=3,1,0),0)</f>
        <v>0</v>
      </c>
      <c r="AE642" s="30" t="n">
        <f aca="false">IF($S642="不存在",1,0)</f>
        <v>0</v>
      </c>
      <c r="AF642" s="42" t="str">
        <f aca="false">IF(OR($H642="—",$H642=""),"—",MATCH($H642,IDX_SrcID,0))</f>
        <v>—</v>
      </c>
      <c r="AG642" s="30" t="n">
        <f aca="false">IF(AND($P642="高",OR($AD642=1,$X642=1)),1,0)</f>
        <v>0</v>
      </c>
      <c r="AH642" s="30" t="n">
        <f aca="false">IF(AND($P642="高",$AG642=0,OR($F642&lt;&gt;"原始數據",$T642&lt;&gt;1)),1,0)</f>
        <v>0</v>
      </c>
      <c r="AI642" s="42" t="str">
        <f aca="false">IF(AND($P642="高",ISNUMBER($AF642)),INDEX(IDX_SrcDate,$AF642),"—")</f>
        <v>—</v>
      </c>
      <c r="AJ642" s="30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28" t="s">
        <v>5733</v>
      </c>
      <c r="B643" s="198" t="s">
        <v>5711</v>
      </c>
      <c r="C643" s="28" t="s">
        <v>4952</v>
      </c>
      <c r="D643" s="28" t="s">
        <v>5734</v>
      </c>
      <c r="E643" s="228" t="s">
        <v>5730</v>
      </c>
      <c r="F643" s="28" t="s">
        <v>100</v>
      </c>
      <c r="G643" s="198" t="s">
        <v>1151</v>
      </c>
      <c r="H643" s="28" t="s">
        <v>620</v>
      </c>
      <c r="I643" s="6" t="s">
        <v>620</v>
      </c>
      <c r="J643" s="28" t="s">
        <v>5714</v>
      </c>
      <c r="K643" s="198"/>
      <c r="L643" s="198"/>
      <c r="M643" s="28" t="s">
        <v>5735</v>
      </c>
      <c r="N643" s="6" t="s">
        <v>5732</v>
      </c>
      <c r="O643" s="6" t="s">
        <v>620</v>
      </c>
      <c r="P643" s="198" t="s">
        <v>3885</v>
      </c>
      <c r="Q643" s="207" t="n">
        <f aca="false">Cap_In!E228</f>
        <v>1</v>
      </c>
      <c r="R643" s="28" t="s">
        <v>620</v>
      </c>
      <c r="S643" s="42" t="str">
        <f aca="false">IF(ISNUMBER($AF643),INDEX(IDX_SrcStat,$AF643),"—")</f>
        <v>—</v>
      </c>
      <c r="T643" s="42" t="str">
        <f aca="false">IF(ISNUMBER($AF643),INDEX(IDX_SrcGrade,$AF643),"—")</f>
        <v>—</v>
      </c>
      <c r="U643" s="42" t="s">
        <v>3886</v>
      </c>
      <c r="V643" s="30" t="n">
        <f aca="false">IF(AND($F643="原始數據",$U643&lt;&gt;"連結 SRC"),1,0)</f>
        <v>0</v>
      </c>
      <c r="W643" s="30" t="n">
        <f aca="false">IF(AND($F643="Analogy",OR($H643="—",$H643="")),1,0)</f>
        <v>0</v>
      </c>
      <c r="X643" s="30" t="n">
        <f aca="false">IF(AND(OR($F643="Analogy",$F643="Assumed"),$G643&lt;&gt;"低",$G643&lt;&gt;"高",NOT(ISNUMBER($K643)),NOT(ISNUMBER($L643)),OR($M643="—",$M643="")),1,0)</f>
        <v>0</v>
      </c>
      <c r="Y643" s="30" t="n">
        <f aca="false">IF(AND(OR($F643="Analogy",$F643="Assumed",$F643="Derived（待改公式）",$F643="Derived（公式）"),OR($N643="—",$N643="",$N643=0)),1,0)</f>
        <v>0</v>
      </c>
      <c r="Z643" s="30" t="n">
        <f aca="false">IF(AND($F643="Decision",OR($J643="—",$J643="")),1,0)</f>
        <v>0</v>
      </c>
      <c r="AA643" s="31" t="n">
        <f aca="false">IF(OR($J643="—",$J643=""),0,IF(COUNTIF(Decisions!$A$5:$A$300,$J643)=0,1,0))</f>
        <v>0</v>
      </c>
      <c r="AB643" s="30" t="n">
        <f aca="false">IF(AND($F643="原始數據",$S643&lt;&gt;"Active"),1,0)</f>
        <v>0</v>
      </c>
      <c r="AC643" s="30" t="n">
        <f aca="false">IF(AND(ISNUMBER($K643),ISNUMBER($L643),ISNUMBER($Q643)),IF(OR($Q643&lt;MIN($K643,$L643),$Q643&gt;MAX($K643,$L643)),1,0),0)</f>
        <v>0</v>
      </c>
      <c r="AD643" s="30" t="n">
        <f aca="false">IF(AND(ISNUMBER($T643),$P643="高"),IF($T643=3,1,0),0)</f>
        <v>0</v>
      </c>
      <c r="AE643" s="30" t="n">
        <f aca="false">IF($S643="不存在",1,0)</f>
        <v>0</v>
      </c>
      <c r="AF643" s="42" t="str">
        <f aca="false">IF(OR($H643="—",$H643=""),"—",MATCH($H643,IDX_SrcID,0))</f>
        <v>—</v>
      </c>
      <c r="AG643" s="30" t="n">
        <f aca="false">IF(AND($P643="高",OR($AD643=1,$X643=1)),1,0)</f>
        <v>0</v>
      </c>
      <c r="AH643" s="30" t="n">
        <f aca="false">IF(AND($P643="高",$AG643=0,OR($F643&lt;&gt;"原始數據",$T643&lt;&gt;1)),1,0)</f>
        <v>0</v>
      </c>
      <c r="AI643" s="42" t="str">
        <f aca="false">IF(AND($P643="高",ISNUMBER($AF643)),INDEX(IDX_SrcDate,$AF643),"—")</f>
        <v>—</v>
      </c>
      <c r="AJ643" s="30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28" t="s">
        <v>5736</v>
      </c>
      <c r="B644" s="198" t="s">
        <v>5737</v>
      </c>
      <c r="C644" s="28" t="s">
        <v>4952</v>
      </c>
      <c r="D644" s="28" t="s">
        <v>5738</v>
      </c>
      <c r="E644" s="228" t="s">
        <v>5739</v>
      </c>
      <c r="F644" s="28" t="s">
        <v>100</v>
      </c>
      <c r="G644" s="198" t="s">
        <v>3882</v>
      </c>
      <c r="H644" s="28" t="s">
        <v>5740</v>
      </c>
      <c r="I644" s="228" t="s">
        <v>5741</v>
      </c>
      <c r="J644" s="28" t="s">
        <v>5742</v>
      </c>
      <c r="K644" s="226" t="n">
        <v>0</v>
      </c>
      <c r="L644" s="226" t="n">
        <v>0.2</v>
      </c>
      <c r="M644" s="198" t="s">
        <v>5743</v>
      </c>
      <c r="N644" s="6" t="s">
        <v>5744</v>
      </c>
      <c r="O644" s="6" t="s">
        <v>620</v>
      </c>
      <c r="P644" s="198" t="s">
        <v>3885</v>
      </c>
      <c r="Q644" s="44" t="n">
        <f aca="false">Cap_In!D186</f>
        <v>0</v>
      </c>
      <c r="R644" s="177" t="n">
        <f aca="false">SRC_DEM_072</f>
        <v>1</v>
      </c>
      <c r="S644" s="42" t="str">
        <f aca="false">IF(ISNUMBER($AF644),INDEX(IDX_SrcStat,$AF644),"—")</f>
        <v>Active</v>
      </c>
      <c r="T644" s="42" t="n">
        <f aca="false">IF(ISNUMBER($AF644),INDEX(IDX_SrcGrade,$AF644),"—")</f>
        <v>2</v>
      </c>
      <c r="U644" s="42" t="s">
        <v>3886</v>
      </c>
      <c r="V644" s="30" t="n">
        <f aca="false">IF(AND($F644="原始數據",$U644&lt;&gt;"連結 SRC"),1,0)</f>
        <v>0</v>
      </c>
      <c r="W644" s="30" t="n">
        <f aca="false">IF(AND($F644="Analogy",OR($H644="—",$H644="")),1,0)</f>
        <v>0</v>
      </c>
      <c r="X644" s="30" t="n">
        <f aca="false">IF(AND(OR($F644="Analogy",$F644="Assumed"),$G644&lt;&gt;"低",$G644&lt;&gt;"高",NOT(ISNUMBER($K644)),NOT(ISNUMBER($L644)),OR($M644="—",$M644="")),1,0)</f>
        <v>0</v>
      </c>
      <c r="Y644" s="30" t="n">
        <f aca="false">IF(AND(OR($F644="Analogy",$F644="Assumed",$F644="Derived（待改公式）",$F644="Derived（公式）"),OR($N644="—",$N644="",$N644=0)),1,0)</f>
        <v>0</v>
      </c>
      <c r="Z644" s="30" t="n">
        <f aca="false">IF(AND($F644="Decision",OR($J644="—",$J644="")),1,0)</f>
        <v>0</v>
      </c>
      <c r="AA644" s="31" t="n">
        <f aca="false">IF(OR($J644="—",$J644=""),0,IF(COUNTIF(Decisions!$A$5:$A$300,$J644)=0,1,0))</f>
        <v>0</v>
      </c>
      <c r="AB644" s="30" t="n">
        <f aca="false">IF(AND($F644="原始數據",$S644&lt;&gt;"Active"),1,0)</f>
        <v>0</v>
      </c>
      <c r="AC644" s="30" t="n">
        <f aca="false">IF(AND(ISNUMBER($K644),ISNUMBER($L644),ISNUMBER($Q644)),IF(OR($Q644&lt;MIN($K644,$L644),$Q644&gt;MAX($K644,$L644)),1,0),0)</f>
        <v>0</v>
      </c>
      <c r="AD644" s="30" t="n">
        <f aca="false">IF(AND(ISNUMBER($T644),$P644="高"),IF($T644=3,1,0),0)</f>
        <v>0</v>
      </c>
      <c r="AE644" s="30" t="n">
        <f aca="false">IF($S644="不存在",1,0)</f>
        <v>0</v>
      </c>
      <c r="AF644" s="42" t="n">
        <f aca="false">IF(OR($H644="—",$H644=""),"—",MATCH($H644,IDX_SrcID,0))</f>
        <v>705</v>
      </c>
      <c r="AG644" s="30" t="n">
        <f aca="false">IF(AND($P644="高",OR($AD644=1,$X644=1)),1,0)</f>
        <v>0</v>
      </c>
      <c r="AH644" s="30" t="n">
        <f aca="false">IF(AND($P644="高",$AG644=0,OR($F644&lt;&gt;"原始數據",$T644&lt;&gt;1)),1,0)</f>
        <v>0</v>
      </c>
      <c r="AI644" s="42" t="str">
        <f aca="false">IF(AND($P644="高",ISNUMBER($AF644)),INDEX(IDX_SrcDate,$AF644),"—")</f>
        <v>—</v>
      </c>
      <c r="AJ644" s="30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28" t="s">
        <v>5745</v>
      </c>
      <c r="B645" s="198" t="s">
        <v>5737</v>
      </c>
      <c r="C645" s="28" t="s">
        <v>4952</v>
      </c>
      <c r="D645" s="28" t="s">
        <v>5746</v>
      </c>
      <c r="E645" s="228" t="s">
        <v>5739</v>
      </c>
      <c r="F645" s="28" t="s">
        <v>100</v>
      </c>
      <c r="G645" s="198" t="s">
        <v>3882</v>
      </c>
      <c r="H645" s="28" t="s">
        <v>5740</v>
      </c>
      <c r="I645" s="228" t="s">
        <v>5741</v>
      </c>
      <c r="J645" s="28" t="s">
        <v>5742</v>
      </c>
      <c r="K645" s="226" t="n">
        <v>0.3</v>
      </c>
      <c r="L645" s="226" t="n">
        <v>0.8</v>
      </c>
      <c r="M645" s="198" t="s">
        <v>5747</v>
      </c>
      <c r="N645" s="6" t="s">
        <v>5744</v>
      </c>
      <c r="O645" s="6" t="s">
        <v>620</v>
      </c>
      <c r="P645" s="198" t="s">
        <v>3885</v>
      </c>
      <c r="Q645" s="44" t="n">
        <f aca="false">Cap_In!E186</f>
        <v>0.5</v>
      </c>
      <c r="R645" s="177" t="n">
        <f aca="false">SRC_DEM_072</f>
        <v>1</v>
      </c>
      <c r="S645" s="42" t="str">
        <f aca="false">IF(ISNUMBER($AF645),INDEX(IDX_SrcStat,$AF645),"—")</f>
        <v>Active</v>
      </c>
      <c r="T645" s="42" t="n">
        <f aca="false">IF(ISNUMBER($AF645),INDEX(IDX_SrcGrade,$AF645),"—")</f>
        <v>2</v>
      </c>
      <c r="U645" s="42" t="s">
        <v>3886</v>
      </c>
      <c r="V645" s="30" t="n">
        <f aca="false">IF(AND($F645="原始數據",$U645&lt;&gt;"連結 SRC"),1,0)</f>
        <v>0</v>
      </c>
      <c r="W645" s="30" t="n">
        <f aca="false">IF(AND($F645="Analogy",OR($H645="—",$H645="")),1,0)</f>
        <v>0</v>
      </c>
      <c r="X645" s="30" t="n">
        <f aca="false">IF(AND(OR($F645="Analogy",$F645="Assumed"),$G645&lt;&gt;"低",$G645&lt;&gt;"高",NOT(ISNUMBER($K645)),NOT(ISNUMBER($L645)),OR($M645="—",$M645="")),1,0)</f>
        <v>0</v>
      </c>
      <c r="Y645" s="30" t="n">
        <f aca="false">IF(AND(OR($F645="Analogy",$F645="Assumed",$F645="Derived（待改公式）",$F645="Derived（公式）"),OR($N645="—",$N645="",$N645=0)),1,0)</f>
        <v>0</v>
      </c>
      <c r="Z645" s="30" t="n">
        <f aca="false">IF(AND($F645="Decision",OR($J645="—",$J645="")),1,0)</f>
        <v>0</v>
      </c>
      <c r="AA645" s="31" t="n">
        <f aca="false">IF(OR($J645="—",$J645=""),0,IF(COUNTIF(Decisions!$A$5:$A$300,$J645)=0,1,0))</f>
        <v>0</v>
      </c>
      <c r="AB645" s="30" t="n">
        <f aca="false">IF(AND($F645="原始數據",$S645&lt;&gt;"Active"),1,0)</f>
        <v>0</v>
      </c>
      <c r="AC645" s="30" t="n">
        <f aca="false">IF(AND(ISNUMBER($K645),ISNUMBER($L645),ISNUMBER($Q645)),IF(OR($Q645&lt;MIN($K645,$L645),$Q645&gt;MAX($K645,$L645)),1,0),0)</f>
        <v>0</v>
      </c>
      <c r="AD645" s="30" t="n">
        <f aca="false">IF(AND(ISNUMBER($T645),$P645="高"),IF($T645=3,1,0),0)</f>
        <v>0</v>
      </c>
      <c r="AE645" s="30" t="n">
        <f aca="false">IF($S645="不存在",1,0)</f>
        <v>0</v>
      </c>
      <c r="AF645" s="42" t="n">
        <f aca="false">IF(OR($H645="—",$H645=""),"—",MATCH($H645,IDX_SrcID,0))</f>
        <v>705</v>
      </c>
      <c r="AG645" s="30" t="n">
        <f aca="false">IF(AND($P645="高",OR($AD645=1,$X645=1)),1,0)</f>
        <v>0</v>
      </c>
      <c r="AH645" s="30" t="n">
        <f aca="false">IF(AND($P645="高",$AG645=0,OR($F645&lt;&gt;"原始數據",$T645&lt;&gt;1)),1,0)</f>
        <v>0</v>
      </c>
      <c r="AI645" s="42" t="str">
        <f aca="false">IF(AND($P645="高",ISNUMBER($AF645)),INDEX(IDX_SrcDate,$AF645),"—")</f>
        <v>—</v>
      </c>
      <c r="AJ645" s="30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28" t="s">
        <v>5748</v>
      </c>
      <c r="B646" s="198" t="s">
        <v>5737</v>
      </c>
      <c r="C646" s="28" t="s">
        <v>4952</v>
      </c>
      <c r="D646" s="28" t="s">
        <v>5749</v>
      </c>
      <c r="E646" s="228" t="s">
        <v>5739</v>
      </c>
      <c r="F646" s="28" t="s">
        <v>100</v>
      </c>
      <c r="G646" s="198" t="s">
        <v>3882</v>
      </c>
      <c r="H646" s="28" t="s">
        <v>5740</v>
      </c>
      <c r="I646" s="228" t="s">
        <v>5741</v>
      </c>
      <c r="J646" s="28" t="s">
        <v>5742</v>
      </c>
      <c r="K646" s="226" t="n">
        <v>0.5</v>
      </c>
      <c r="L646" s="226" t="n">
        <v>1.5</v>
      </c>
      <c r="M646" s="198" t="s">
        <v>5750</v>
      </c>
      <c r="N646" s="6" t="s">
        <v>5744</v>
      </c>
      <c r="O646" s="6" t="s">
        <v>620</v>
      </c>
      <c r="P646" s="198" t="s">
        <v>3885</v>
      </c>
      <c r="Q646" s="44" t="n">
        <f aca="false">Cap_In!F186</f>
        <v>1</v>
      </c>
      <c r="R646" s="177" t="n">
        <f aca="false">SRC_DEM_072</f>
        <v>1</v>
      </c>
      <c r="S646" s="42" t="str">
        <f aca="false">IF(ISNUMBER($AF646),INDEX(IDX_SrcStat,$AF646),"—")</f>
        <v>Active</v>
      </c>
      <c r="T646" s="42" t="n">
        <f aca="false">IF(ISNUMBER($AF646),INDEX(IDX_SrcGrade,$AF646),"—")</f>
        <v>2</v>
      </c>
      <c r="U646" s="42" t="s">
        <v>3886</v>
      </c>
      <c r="V646" s="30" t="n">
        <f aca="false">IF(AND($F646="原始數據",$U646&lt;&gt;"連結 SRC"),1,0)</f>
        <v>0</v>
      </c>
      <c r="W646" s="30" t="n">
        <f aca="false">IF(AND($F646="Analogy",OR($H646="—",$H646="")),1,0)</f>
        <v>0</v>
      </c>
      <c r="X646" s="30" t="n">
        <f aca="false">IF(AND(OR($F646="Analogy",$F646="Assumed"),$G646&lt;&gt;"低",$G646&lt;&gt;"高",NOT(ISNUMBER($K646)),NOT(ISNUMBER($L646)),OR($M646="—",$M646="")),1,0)</f>
        <v>0</v>
      </c>
      <c r="Y646" s="30" t="n">
        <f aca="false">IF(AND(OR($F646="Analogy",$F646="Assumed",$F646="Derived（待改公式）",$F646="Derived（公式）"),OR($N646="—",$N646="",$N646=0)),1,0)</f>
        <v>0</v>
      </c>
      <c r="Z646" s="30" t="n">
        <f aca="false">IF(AND($F646="Decision",OR($J646="—",$J646="")),1,0)</f>
        <v>0</v>
      </c>
      <c r="AA646" s="31" t="n">
        <f aca="false">IF(OR($J646="—",$J646=""),0,IF(COUNTIF(Decisions!$A$5:$A$300,$J646)=0,1,0))</f>
        <v>0</v>
      </c>
      <c r="AB646" s="30" t="n">
        <f aca="false">IF(AND($F646="原始數據",$S646&lt;&gt;"Active"),1,0)</f>
        <v>0</v>
      </c>
      <c r="AC646" s="30" t="n">
        <f aca="false">IF(AND(ISNUMBER($K646),ISNUMBER($L646),ISNUMBER($Q646)),IF(OR($Q646&lt;MIN($K646,$L646),$Q646&gt;MAX($K646,$L646)),1,0),0)</f>
        <v>0</v>
      </c>
      <c r="AD646" s="30" t="n">
        <f aca="false">IF(AND(ISNUMBER($T646),$P646="高"),IF($T646=3,1,0),0)</f>
        <v>0</v>
      </c>
      <c r="AE646" s="30" t="n">
        <f aca="false">IF($S646="不存在",1,0)</f>
        <v>0</v>
      </c>
      <c r="AF646" s="42" t="n">
        <f aca="false">IF(OR($H646="—",$H646=""),"—",MATCH($H646,IDX_SrcID,0))</f>
        <v>705</v>
      </c>
      <c r="AG646" s="30" t="n">
        <f aca="false">IF(AND($P646="高",OR($AD646=1,$X646=1)),1,0)</f>
        <v>0</v>
      </c>
      <c r="AH646" s="30" t="n">
        <f aca="false">IF(AND($P646="高",$AG646=0,OR($F646&lt;&gt;"原始數據",$T646&lt;&gt;1)),1,0)</f>
        <v>0</v>
      </c>
      <c r="AI646" s="42" t="str">
        <f aca="false">IF(AND($P646="高",ISNUMBER($AF646)),INDEX(IDX_SrcDate,$AF646),"—")</f>
        <v>—</v>
      </c>
      <c r="AJ646" s="30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28" t="s">
        <v>5751</v>
      </c>
      <c r="B647" s="198" t="s">
        <v>5737</v>
      </c>
      <c r="C647" s="28" t="s">
        <v>4952</v>
      </c>
      <c r="D647" s="28" t="s">
        <v>5752</v>
      </c>
      <c r="E647" s="6" t="s">
        <v>1528</v>
      </c>
      <c r="F647" s="28" t="s">
        <v>100</v>
      </c>
      <c r="G647" s="198" t="s">
        <v>3882</v>
      </c>
      <c r="H647" s="28" t="s">
        <v>620</v>
      </c>
      <c r="I647" s="6" t="s">
        <v>620</v>
      </c>
      <c r="J647" s="28" t="s">
        <v>5742</v>
      </c>
      <c r="K647" s="226" t="n">
        <v>0.5</v>
      </c>
      <c r="L647" s="226" t="n">
        <v>0.8</v>
      </c>
      <c r="M647" s="198" t="s">
        <v>5753</v>
      </c>
      <c r="N647" s="6" t="s">
        <v>5754</v>
      </c>
      <c r="O647" s="6" t="s">
        <v>620</v>
      </c>
      <c r="P647" s="198" t="s">
        <v>3885</v>
      </c>
      <c r="Q647" s="189" t="n">
        <f aca="false">Cap_In!D200</f>
        <v>0.65</v>
      </c>
      <c r="R647" s="28" t="s">
        <v>620</v>
      </c>
      <c r="S647" s="42" t="str">
        <f aca="false">IF(ISNUMBER($AF647),INDEX(IDX_SrcStat,$AF647),"—")</f>
        <v>—</v>
      </c>
      <c r="T647" s="42" t="str">
        <f aca="false">IF(ISNUMBER($AF647),INDEX(IDX_SrcGrade,$AF647),"—")</f>
        <v>—</v>
      </c>
      <c r="U647" s="42" t="s">
        <v>3886</v>
      </c>
      <c r="V647" s="30" t="n">
        <f aca="false">IF(AND($F647="原始數據",$U647&lt;&gt;"連結 SRC"),1,0)</f>
        <v>0</v>
      </c>
      <c r="W647" s="30" t="n">
        <f aca="false">IF(AND($F647="Analogy",OR($H647="—",$H647="")),1,0)</f>
        <v>0</v>
      </c>
      <c r="X647" s="30" t="n">
        <f aca="false">IF(AND(OR($F647="Analogy",$F647="Assumed"),$G647&lt;&gt;"低",$G647&lt;&gt;"高",NOT(ISNUMBER($K647)),NOT(ISNUMBER($L647)),OR($M647="—",$M647="")),1,0)</f>
        <v>0</v>
      </c>
      <c r="Y647" s="30" t="n">
        <f aca="false">IF(AND(OR($F647="Analogy",$F647="Assumed",$F647="Derived（待改公式）",$F647="Derived（公式）"),OR($N647="—",$N647="",$N647=0)),1,0)</f>
        <v>0</v>
      </c>
      <c r="Z647" s="30" t="n">
        <f aca="false">IF(AND($F647="Decision",OR($J647="—",$J647="")),1,0)</f>
        <v>0</v>
      </c>
      <c r="AA647" s="31" t="n">
        <f aca="false">IF(OR($J647="—",$J647=""),0,IF(COUNTIF(Decisions!$A$5:$A$300,$J647)=0,1,0))</f>
        <v>0</v>
      </c>
      <c r="AB647" s="30" t="n">
        <f aca="false">IF(AND($F647="原始數據",$S647&lt;&gt;"Active"),1,0)</f>
        <v>0</v>
      </c>
      <c r="AC647" s="30" t="n">
        <f aca="false">IF(AND(ISNUMBER($K647),ISNUMBER($L647),ISNUMBER($Q647)),IF(OR($Q647&lt;MIN($K647,$L647),$Q647&gt;MAX($K647,$L647)),1,0),0)</f>
        <v>0</v>
      </c>
      <c r="AD647" s="30" t="n">
        <f aca="false">IF(AND(ISNUMBER($T647),$P647="高"),IF($T647=3,1,0),0)</f>
        <v>0</v>
      </c>
      <c r="AE647" s="30" t="n">
        <f aca="false">IF($S647="不存在",1,0)</f>
        <v>0</v>
      </c>
      <c r="AF647" s="42" t="str">
        <f aca="false">IF(OR($H647="—",$H647=""),"—",MATCH($H647,IDX_SrcID,0))</f>
        <v>—</v>
      </c>
      <c r="AG647" s="30" t="n">
        <f aca="false">IF(AND($P647="高",OR($AD647=1,$X647=1)),1,0)</f>
        <v>0</v>
      </c>
      <c r="AH647" s="30" t="n">
        <f aca="false">IF(AND($P647="高",$AG647=0,OR($F647&lt;&gt;"原始數據",$T647&lt;&gt;1)),1,0)</f>
        <v>0</v>
      </c>
      <c r="AI647" s="42" t="str">
        <f aca="false">IF(AND($P647="高",ISNUMBER($AF647)),INDEX(IDX_SrcDate,$AF647),"—")</f>
        <v>—</v>
      </c>
      <c r="AJ647" s="30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28" t="s">
        <v>5755</v>
      </c>
      <c r="B648" s="198" t="s">
        <v>5756</v>
      </c>
      <c r="C648" s="28" t="s">
        <v>5454</v>
      </c>
      <c r="D648" s="28" t="s">
        <v>4207</v>
      </c>
      <c r="E648" s="228" t="s">
        <v>5757</v>
      </c>
      <c r="F648" s="28" t="s">
        <v>147</v>
      </c>
      <c r="G648" s="198" t="s">
        <v>85</v>
      </c>
      <c r="H648" s="28" t="s">
        <v>620</v>
      </c>
      <c r="I648" s="6" t="s">
        <v>620</v>
      </c>
      <c r="J648" s="28" t="s">
        <v>5758</v>
      </c>
      <c r="K648" s="185" t="n">
        <f aca="false">Alloc_In!D26</f>
        <v>0.65</v>
      </c>
      <c r="L648" s="185" t="n">
        <f aca="false">Alloc_In!E26</f>
        <v>1.2</v>
      </c>
      <c r="M648" s="28" t="s">
        <v>5759</v>
      </c>
      <c r="N648" s="6" t="s">
        <v>5760</v>
      </c>
      <c r="O648" s="6" t="s">
        <v>620</v>
      </c>
      <c r="P648" s="198" t="s">
        <v>3941</v>
      </c>
      <c r="Q648" s="185" t="n">
        <f aca="false">Alloc_In!C26</f>
        <v>1</v>
      </c>
      <c r="R648" s="28" t="s">
        <v>620</v>
      </c>
      <c r="S648" s="42" t="str">
        <f aca="false">IF(ISNUMBER($AF648),INDEX(IDX_SrcStat,$AF648),"—")</f>
        <v>—</v>
      </c>
      <c r="T648" s="42" t="str">
        <f aca="false">IF(ISNUMBER($AF648),INDEX(IDX_SrcGrade,$AF648),"—")</f>
        <v>—</v>
      </c>
      <c r="U648" s="42" t="s">
        <v>3886</v>
      </c>
      <c r="V648" s="30" t="n">
        <f aca="false">IF(AND($F648="原始數據",$U648&lt;&gt;"連結 SRC"),1,0)</f>
        <v>0</v>
      </c>
      <c r="W648" s="30" t="n">
        <f aca="false">IF(AND($F648="Analogy",OR($H648="—",$H648="")),1,0)</f>
        <v>0</v>
      </c>
      <c r="X648" s="30" t="n">
        <f aca="false">IF(AND(OR($F648="Analogy",$F648="Assumed"),$G648&lt;&gt;"低",$G648&lt;&gt;"高",NOT(ISNUMBER($K648)),NOT(ISNUMBER($L648)),OR($M648="—",$M648="")),1,0)</f>
        <v>0</v>
      </c>
      <c r="Y648" s="30" t="n">
        <f aca="false">IF(AND(OR($F648="Analogy",$F648="Assumed",$F648="Derived（待改公式）",$F648="Derived（公式）"),OR($N648="—",$N648="",$N648=0)),1,0)</f>
        <v>0</v>
      </c>
      <c r="Z648" s="30" t="n">
        <f aca="false">IF(AND($F648="Decision",OR($J648="—",$J648="")),1,0)</f>
        <v>0</v>
      </c>
      <c r="AA648" s="31" t="n">
        <f aca="false">IF(OR($J648="—",$J648=""),0,IF(COUNTIF(Decisions!$A$5:$A$300,$J648)=0,1,0))</f>
        <v>0</v>
      </c>
      <c r="AB648" s="30" t="n">
        <f aca="false">IF(AND($F648="原始數據",$S648&lt;&gt;"Active"),1,0)</f>
        <v>0</v>
      </c>
      <c r="AC648" s="30" t="n">
        <f aca="false">IF(AND(ISNUMBER($K648),ISNUMBER($L648),ISNUMBER($Q648)),IF(OR($Q648&lt;MIN($K648,$L648),$Q648&gt;MAX($K648,$L648)),1,0),0)</f>
        <v>0</v>
      </c>
      <c r="AD648" s="30" t="n">
        <f aca="false">IF(AND(ISNUMBER($T648),$P648="高"),IF($T648=3,1,0),0)</f>
        <v>0</v>
      </c>
      <c r="AE648" s="30" t="n">
        <f aca="false">IF($S648="不存在",1,0)</f>
        <v>0</v>
      </c>
      <c r="AF648" s="42" t="str">
        <f aca="false">IF(OR($H648="—",$H648=""),"—",MATCH($H648,IDX_SrcID,0))</f>
        <v>—</v>
      </c>
      <c r="AG648" s="30" t="n">
        <f aca="false">IF(AND($P648="高",OR($AD648=1,$X648=1)),1,0)</f>
        <v>0</v>
      </c>
      <c r="AH648" s="30" t="n">
        <f aca="false">IF(AND($P648="高",$AG648=0,OR($F648&lt;&gt;"原始數據",$T648&lt;&gt;1)),1,0)</f>
        <v>0</v>
      </c>
      <c r="AI648" s="42" t="str">
        <f aca="false">IF(AND($P648="高",ISNUMBER($AF648)),INDEX(IDX_SrcDate,$AF648),"—")</f>
        <v>—</v>
      </c>
      <c r="AJ648" s="30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28" t="s">
        <v>5761</v>
      </c>
      <c r="B649" s="198" t="s">
        <v>5756</v>
      </c>
      <c r="C649" s="28" t="s">
        <v>5454</v>
      </c>
      <c r="D649" s="28" t="s">
        <v>5762</v>
      </c>
      <c r="E649" s="228" t="s">
        <v>5757</v>
      </c>
      <c r="F649" s="28" t="s">
        <v>147</v>
      </c>
      <c r="G649" s="198" t="s">
        <v>4958</v>
      </c>
      <c r="H649" s="28" t="s">
        <v>620</v>
      </c>
      <c r="I649" s="6" t="s">
        <v>620</v>
      </c>
      <c r="J649" s="28" t="s">
        <v>5758</v>
      </c>
      <c r="K649" s="198"/>
      <c r="L649" s="198"/>
      <c r="M649" s="28" t="s">
        <v>5763</v>
      </c>
      <c r="N649" s="6" t="s">
        <v>5760</v>
      </c>
      <c r="O649" s="6" t="s">
        <v>620</v>
      </c>
      <c r="P649" s="28" t="s">
        <v>620</v>
      </c>
      <c r="Q649" s="177" t="s">
        <v>620</v>
      </c>
      <c r="R649" s="28" t="s">
        <v>620</v>
      </c>
      <c r="S649" s="42" t="str">
        <f aca="false">IF(ISNUMBER($AF649),INDEX(IDX_SrcStat,$AF649),"—")</f>
        <v>—</v>
      </c>
      <c r="T649" s="42" t="str">
        <f aca="false">IF(ISNUMBER($AF649),INDEX(IDX_SrcGrade,$AF649),"—")</f>
        <v>—</v>
      </c>
      <c r="U649" s="28" t="s">
        <v>620</v>
      </c>
      <c r="V649" s="30" t="n">
        <f aca="false">IF(AND($F649="原始數據",$U649&lt;&gt;"連結 SRC"),1,0)</f>
        <v>0</v>
      </c>
      <c r="W649" s="30" t="n">
        <f aca="false">IF(AND($F649="Analogy",OR($H649="—",$H649="")),1,0)</f>
        <v>0</v>
      </c>
      <c r="X649" s="30" t="n">
        <f aca="false">IF(AND(OR($F649="Analogy",$F649="Assumed"),$G649&lt;&gt;"低",$G649&lt;&gt;"高",NOT(ISNUMBER($K649)),NOT(ISNUMBER($L649)),OR($M649="—",$M649="")),1,0)</f>
        <v>0</v>
      </c>
      <c r="Y649" s="30" t="n">
        <f aca="false">IF(AND(OR($F649="Analogy",$F649="Assumed",$F649="Derived（待改公式）",$F649="Derived（公式）"),OR($N649="—",$N649="",$N649=0)),1,0)</f>
        <v>0</v>
      </c>
      <c r="Z649" s="30" t="n">
        <f aca="false">IF(AND($F649="Decision",OR($J649="—",$J649="")),1,0)</f>
        <v>0</v>
      </c>
      <c r="AA649" s="31" t="n">
        <f aca="false">IF(OR($J649="—",$J649=""),0,IF(COUNTIF(Decisions!$A$5:$A$300,$J649)=0,1,0))</f>
        <v>0</v>
      </c>
      <c r="AB649" s="30" t="n">
        <f aca="false">IF(AND($F649="原始數據",$S649&lt;&gt;"Active"),1,0)</f>
        <v>0</v>
      </c>
      <c r="AC649" s="30" t="n">
        <f aca="false">IF(AND(ISNUMBER($K649),ISNUMBER($L649),ISNUMBER($Q649)),IF(OR($Q649&lt;MIN($K649,$L649),$Q649&gt;MAX($K649,$L649)),1,0),0)</f>
        <v>0</v>
      </c>
      <c r="AD649" s="30" t="n">
        <f aca="false">IF(AND(ISNUMBER($T649),$P649="高"),IF($T649=3,1,0),0)</f>
        <v>0</v>
      </c>
      <c r="AE649" s="30" t="n">
        <f aca="false">IF($S649="不存在",1,0)</f>
        <v>0</v>
      </c>
      <c r="AF649" s="42" t="str">
        <f aca="false">IF(OR($H649="—",$H649=""),"—",MATCH($H649,IDX_SrcID,0))</f>
        <v>—</v>
      </c>
      <c r="AG649" s="30" t="n">
        <f aca="false">IF(AND($P649="高",OR($AD649=1,$X649=1)),1,0)</f>
        <v>0</v>
      </c>
      <c r="AH649" s="30" t="n">
        <f aca="false">IF(AND($P649="高",$AG649=0,OR($F649&lt;&gt;"原始數據",$T649&lt;&gt;1)),1,0)</f>
        <v>0</v>
      </c>
      <c r="AI649" s="42" t="str">
        <f aca="false">IF(AND($P649="高",ISNUMBER($AF649)),INDEX(IDX_SrcDate,$AF649),"—")</f>
        <v>—</v>
      </c>
      <c r="AJ649" s="30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28" t="s">
        <v>5764</v>
      </c>
      <c r="B650" s="198" t="s">
        <v>5765</v>
      </c>
      <c r="C650" s="28" t="s">
        <v>4952</v>
      </c>
      <c r="D650" s="28" t="s">
        <v>5766</v>
      </c>
      <c r="E650" s="6" t="s">
        <v>1641</v>
      </c>
      <c r="F650" s="28" t="s">
        <v>147</v>
      </c>
      <c r="G650" s="198" t="s">
        <v>3882</v>
      </c>
      <c r="H650" s="28" t="s">
        <v>620</v>
      </c>
      <c r="I650" s="6" t="s">
        <v>620</v>
      </c>
      <c r="J650" s="28" t="s">
        <v>5758</v>
      </c>
      <c r="K650" s="226" t="n">
        <v>2.722</v>
      </c>
      <c r="L650" s="226" t="n">
        <v>2.722</v>
      </c>
      <c r="M650" s="198" t="s">
        <v>5767</v>
      </c>
      <c r="N650" s="6" t="s">
        <v>5768</v>
      </c>
      <c r="O650" s="6" t="s">
        <v>620</v>
      </c>
      <c r="P650" s="198" t="s">
        <v>3885</v>
      </c>
      <c r="Q650" s="186" t="n">
        <f aca="false">Cap_In!C258</f>
        <v>2.722</v>
      </c>
      <c r="R650" s="28" t="s">
        <v>620</v>
      </c>
      <c r="S650" s="42" t="str">
        <f aca="false">IF(ISNUMBER($AF650),INDEX(IDX_SrcStat,$AF650),"—")</f>
        <v>—</v>
      </c>
      <c r="T650" s="42" t="str">
        <f aca="false">IF(ISNUMBER($AF650),INDEX(IDX_SrcGrade,$AF650),"—")</f>
        <v>—</v>
      </c>
      <c r="U650" s="42" t="s">
        <v>3886</v>
      </c>
      <c r="V650" s="30" t="n">
        <f aca="false">IF(AND($F650="原始數據",$U650&lt;&gt;"連結 SRC"),1,0)</f>
        <v>0</v>
      </c>
      <c r="W650" s="30" t="n">
        <f aca="false">IF(AND($F650="Analogy",OR($H650="—",$H650="")),1,0)</f>
        <v>0</v>
      </c>
      <c r="X650" s="30" t="n">
        <f aca="false">IF(AND(OR($F650="Analogy",$F650="Assumed"),$G650&lt;&gt;"低",$G650&lt;&gt;"高",NOT(ISNUMBER($K650)),NOT(ISNUMBER($L650)),OR($M650="—",$M650="")),1,0)</f>
        <v>0</v>
      </c>
      <c r="Y650" s="30" t="n">
        <f aca="false">IF(AND(OR($F650="Analogy",$F650="Assumed",$F650="Derived（待改公式）",$F650="Derived（公式）"),OR($N650="—",$N650="",$N650=0)),1,0)</f>
        <v>0</v>
      </c>
      <c r="Z650" s="30" t="n">
        <f aca="false">IF(AND($F650="Decision",OR($J650="—",$J650="")),1,0)</f>
        <v>0</v>
      </c>
      <c r="AA650" s="31" t="n">
        <f aca="false">IF(OR($J650="—",$J650=""),0,IF(COUNTIF(Decisions!$A$5:$A$300,$J650)=0,1,0))</f>
        <v>0</v>
      </c>
      <c r="AB650" s="30" t="n">
        <f aca="false">IF(AND($F650="原始數據",$S650&lt;&gt;"Active"),1,0)</f>
        <v>0</v>
      </c>
      <c r="AC650" s="30" t="n">
        <f aca="false">IF(AND(ISNUMBER($K650),ISNUMBER($L650),ISNUMBER($Q650)),IF(OR($Q650&lt;MIN($K650,$L650),$Q650&gt;MAX($K650,$L650)),1,0),0)</f>
        <v>0</v>
      </c>
      <c r="AD650" s="30" t="n">
        <f aca="false">IF(AND(ISNUMBER($T650),$P650="高"),IF($T650=3,1,0),0)</f>
        <v>0</v>
      </c>
      <c r="AE650" s="30" t="n">
        <f aca="false">IF($S650="不存在",1,0)</f>
        <v>0</v>
      </c>
      <c r="AF650" s="42" t="str">
        <f aca="false">IF(OR($H650="—",$H650=""),"—",MATCH($H650,IDX_SrcID,0))</f>
        <v>—</v>
      </c>
      <c r="AG650" s="30" t="n">
        <f aca="false">IF(AND($P650="高",OR($AD650=1,$X650=1)),1,0)</f>
        <v>0</v>
      </c>
      <c r="AH650" s="30" t="n">
        <f aca="false">IF(AND($P650="高",$AG650=0,OR($F650&lt;&gt;"原始數據",$T650&lt;&gt;1)),1,0)</f>
        <v>0</v>
      </c>
      <c r="AI650" s="42" t="str">
        <f aca="false">IF(AND($P650="高",ISNUMBER($AF650)),INDEX(IDX_SrcDate,$AF650),"—")</f>
        <v>—</v>
      </c>
      <c r="AJ650" s="30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28" t="s">
        <v>5769</v>
      </c>
      <c r="B651" s="198" t="s">
        <v>5765</v>
      </c>
      <c r="C651" s="28" t="s">
        <v>4952</v>
      </c>
      <c r="D651" s="28" t="s">
        <v>5770</v>
      </c>
      <c r="E651" s="6" t="s">
        <v>1641</v>
      </c>
      <c r="F651" s="28" t="s">
        <v>147</v>
      </c>
      <c r="G651" s="198" t="s">
        <v>3882</v>
      </c>
      <c r="H651" s="28" t="s">
        <v>620</v>
      </c>
      <c r="I651" s="6" t="s">
        <v>620</v>
      </c>
      <c r="J651" s="28" t="s">
        <v>5758</v>
      </c>
      <c r="K651" s="226" t="n">
        <v>7</v>
      </c>
      <c r="L651" s="226" t="n">
        <v>7</v>
      </c>
      <c r="M651" s="198" t="s">
        <v>5771</v>
      </c>
      <c r="N651" s="6" t="s">
        <v>5768</v>
      </c>
      <c r="O651" s="6" t="s">
        <v>620</v>
      </c>
      <c r="P651" s="198" t="s">
        <v>3885</v>
      </c>
      <c r="Q651" s="31" t="n">
        <f aca="false">Cap_In!D258</f>
        <v>7</v>
      </c>
      <c r="R651" s="28" t="s">
        <v>620</v>
      </c>
      <c r="S651" s="42" t="str">
        <f aca="false">IF(ISNUMBER($AF651),INDEX(IDX_SrcStat,$AF651),"—")</f>
        <v>—</v>
      </c>
      <c r="T651" s="42" t="str">
        <f aca="false">IF(ISNUMBER($AF651),INDEX(IDX_SrcGrade,$AF651),"—")</f>
        <v>—</v>
      </c>
      <c r="U651" s="42" t="s">
        <v>3886</v>
      </c>
      <c r="V651" s="30" t="n">
        <f aca="false">IF(AND($F651="原始數據",$U651&lt;&gt;"連結 SRC"),1,0)</f>
        <v>0</v>
      </c>
      <c r="W651" s="30" t="n">
        <f aca="false">IF(AND($F651="Analogy",OR($H651="—",$H651="")),1,0)</f>
        <v>0</v>
      </c>
      <c r="X651" s="30" t="n">
        <f aca="false">IF(AND(OR($F651="Analogy",$F651="Assumed"),$G651&lt;&gt;"低",$G651&lt;&gt;"高",NOT(ISNUMBER($K651)),NOT(ISNUMBER($L651)),OR($M651="—",$M651="")),1,0)</f>
        <v>0</v>
      </c>
      <c r="Y651" s="30" t="n">
        <f aca="false">IF(AND(OR($F651="Analogy",$F651="Assumed",$F651="Derived（待改公式）",$F651="Derived（公式）"),OR($N651="—",$N651="",$N651=0)),1,0)</f>
        <v>0</v>
      </c>
      <c r="Z651" s="30" t="n">
        <f aca="false">IF(AND($F651="Decision",OR($J651="—",$J651="")),1,0)</f>
        <v>0</v>
      </c>
      <c r="AA651" s="31" t="n">
        <f aca="false">IF(OR($J651="—",$J651=""),0,IF(COUNTIF(Decisions!$A$5:$A$300,$J651)=0,1,0))</f>
        <v>0</v>
      </c>
      <c r="AB651" s="30" t="n">
        <f aca="false">IF(AND($F651="原始數據",$S651&lt;&gt;"Active"),1,0)</f>
        <v>0</v>
      </c>
      <c r="AC651" s="30" t="n">
        <f aca="false">IF(AND(ISNUMBER($K651),ISNUMBER($L651),ISNUMBER($Q651)),IF(OR($Q651&lt;MIN($K651,$L651),$Q651&gt;MAX($K651,$L651)),1,0),0)</f>
        <v>0</v>
      </c>
      <c r="AD651" s="30" t="n">
        <f aca="false">IF(AND(ISNUMBER($T651),$P651="高"),IF($T651=3,1,0),0)</f>
        <v>0</v>
      </c>
      <c r="AE651" s="30" t="n">
        <f aca="false">IF($S651="不存在",1,0)</f>
        <v>0</v>
      </c>
      <c r="AF651" s="42" t="str">
        <f aca="false">IF(OR($H651="—",$H651=""),"—",MATCH($H651,IDX_SrcID,0))</f>
        <v>—</v>
      </c>
      <c r="AG651" s="30" t="n">
        <f aca="false">IF(AND($P651="高",OR($AD651=1,$X651=1)),1,0)</f>
        <v>0</v>
      </c>
      <c r="AH651" s="30" t="n">
        <f aca="false">IF(AND($P651="高",$AG651=0,OR($F651&lt;&gt;"原始數據",$T651&lt;&gt;1)),1,0)</f>
        <v>0</v>
      </c>
      <c r="AI651" s="42" t="str">
        <f aca="false">IF(AND($P651="高",ISNUMBER($AF651)),INDEX(IDX_SrcDate,$AF651),"—")</f>
        <v>—</v>
      </c>
      <c r="AJ651" s="30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28" t="s">
        <v>5772</v>
      </c>
      <c r="B652" s="198" t="s">
        <v>5765</v>
      </c>
      <c r="C652" s="28" t="s">
        <v>4952</v>
      </c>
      <c r="D652" s="28" t="s">
        <v>5773</v>
      </c>
      <c r="E652" s="6" t="s">
        <v>1644</v>
      </c>
      <c r="F652" s="28" t="s">
        <v>147</v>
      </c>
      <c r="G652" s="198" t="s">
        <v>3882</v>
      </c>
      <c r="H652" s="28" t="s">
        <v>620</v>
      </c>
      <c r="I652" s="6" t="s">
        <v>620</v>
      </c>
      <c r="J652" s="28" t="s">
        <v>5758</v>
      </c>
      <c r="K652" s="226" t="n">
        <v>1.672</v>
      </c>
      <c r="L652" s="226" t="n">
        <v>1.672</v>
      </c>
      <c r="M652" s="198" t="s">
        <v>5767</v>
      </c>
      <c r="N652" s="6" t="s">
        <v>5774</v>
      </c>
      <c r="O652" s="6" t="s">
        <v>620</v>
      </c>
      <c r="P652" s="198" t="s">
        <v>3885</v>
      </c>
      <c r="Q652" s="186" t="n">
        <f aca="false">Cap_In!C259</f>
        <v>1.672</v>
      </c>
      <c r="R652" s="28" t="s">
        <v>620</v>
      </c>
      <c r="S652" s="42" t="str">
        <f aca="false">IF(ISNUMBER($AF652),INDEX(IDX_SrcStat,$AF652),"—")</f>
        <v>—</v>
      </c>
      <c r="T652" s="42" t="str">
        <f aca="false">IF(ISNUMBER($AF652),INDEX(IDX_SrcGrade,$AF652),"—")</f>
        <v>—</v>
      </c>
      <c r="U652" s="42" t="s">
        <v>3886</v>
      </c>
      <c r="V652" s="30" t="n">
        <f aca="false">IF(AND($F652="原始數據",$U652&lt;&gt;"連結 SRC"),1,0)</f>
        <v>0</v>
      </c>
      <c r="W652" s="30" t="n">
        <f aca="false">IF(AND($F652="Analogy",OR($H652="—",$H652="")),1,0)</f>
        <v>0</v>
      </c>
      <c r="X652" s="30" t="n">
        <f aca="false">IF(AND(OR($F652="Analogy",$F652="Assumed"),$G652&lt;&gt;"低",$G652&lt;&gt;"高",NOT(ISNUMBER($K652)),NOT(ISNUMBER($L652)),OR($M652="—",$M652="")),1,0)</f>
        <v>0</v>
      </c>
      <c r="Y652" s="30" t="n">
        <f aca="false">IF(AND(OR($F652="Analogy",$F652="Assumed",$F652="Derived（待改公式）",$F652="Derived（公式）"),OR($N652="—",$N652="",$N652=0)),1,0)</f>
        <v>0</v>
      </c>
      <c r="Z652" s="30" t="n">
        <f aca="false">IF(AND($F652="Decision",OR($J652="—",$J652="")),1,0)</f>
        <v>0</v>
      </c>
      <c r="AA652" s="31" t="n">
        <f aca="false">IF(OR($J652="—",$J652=""),0,IF(COUNTIF(Decisions!$A$5:$A$300,$J652)=0,1,0))</f>
        <v>0</v>
      </c>
      <c r="AB652" s="30" t="n">
        <f aca="false">IF(AND($F652="原始數據",$S652&lt;&gt;"Active"),1,0)</f>
        <v>0</v>
      </c>
      <c r="AC652" s="30" t="n">
        <f aca="false">IF(AND(ISNUMBER($K652),ISNUMBER($L652),ISNUMBER($Q652)),IF(OR($Q652&lt;MIN($K652,$L652),$Q652&gt;MAX($K652,$L652)),1,0),0)</f>
        <v>0</v>
      </c>
      <c r="AD652" s="30" t="n">
        <f aca="false">IF(AND(ISNUMBER($T652),$P652="高"),IF($T652=3,1,0),0)</f>
        <v>0</v>
      </c>
      <c r="AE652" s="30" t="n">
        <f aca="false">IF($S652="不存在",1,0)</f>
        <v>0</v>
      </c>
      <c r="AF652" s="42" t="str">
        <f aca="false">IF(OR($H652="—",$H652=""),"—",MATCH($H652,IDX_SrcID,0))</f>
        <v>—</v>
      </c>
      <c r="AG652" s="30" t="n">
        <f aca="false">IF(AND($P652="高",OR($AD652=1,$X652=1)),1,0)</f>
        <v>0</v>
      </c>
      <c r="AH652" s="30" t="n">
        <f aca="false">IF(AND($P652="高",$AG652=0,OR($F652&lt;&gt;"原始數據",$T652&lt;&gt;1)),1,0)</f>
        <v>0</v>
      </c>
      <c r="AI652" s="42" t="str">
        <f aca="false">IF(AND($P652="高",ISNUMBER($AF652)),INDEX(IDX_SrcDate,$AF652),"—")</f>
        <v>—</v>
      </c>
      <c r="AJ652" s="30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28" t="s">
        <v>5775</v>
      </c>
      <c r="B653" s="198" t="s">
        <v>5765</v>
      </c>
      <c r="C653" s="28" t="s">
        <v>4952</v>
      </c>
      <c r="D653" s="28" t="s">
        <v>5776</v>
      </c>
      <c r="E653" s="6" t="s">
        <v>1644</v>
      </c>
      <c r="F653" s="28" t="s">
        <v>147</v>
      </c>
      <c r="G653" s="198" t="s">
        <v>3882</v>
      </c>
      <c r="H653" s="28" t="s">
        <v>620</v>
      </c>
      <c r="I653" s="6" t="s">
        <v>620</v>
      </c>
      <c r="J653" s="28" t="s">
        <v>5758</v>
      </c>
      <c r="K653" s="226" t="n">
        <v>4</v>
      </c>
      <c r="L653" s="226" t="n">
        <v>4</v>
      </c>
      <c r="M653" s="198" t="s">
        <v>5777</v>
      </c>
      <c r="N653" s="6" t="s">
        <v>5774</v>
      </c>
      <c r="O653" s="6" t="s">
        <v>620</v>
      </c>
      <c r="P653" s="198" t="s">
        <v>3885</v>
      </c>
      <c r="Q653" s="31" t="n">
        <f aca="false">Cap_In!D259</f>
        <v>4</v>
      </c>
      <c r="R653" s="28" t="s">
        <v>620</v>
      </c>
      <c r="S653" s="42" t="str">
        <f aca="false">IF(ISNUMBER($AF653),INDEX(IDX_SrcStat,$AF653),"—")</f>
        <v>—</v>
      </c>
      <c r="T653" s="42" t="str">
        <f aca="false">IF(ISNUMBER($AF653),INDEX(IDX_SrcGrade,$AF653),"—")</f>
        <v>—</v>
      </c>
      <c r="U653" s="42" t="s">
        <v>3886</v>
      </c>
      <c r="V653" s="30" t="n">
        <f aca="false">IF(AND($F653="原始數據",$U653&lt;&gt;"連結 SRC"),1,0)</f>
        <v>0</v>
      </c>
      <c r="W653" s="30" t="n">
        <f aca="false">IF(AND($F653="Analogy",OR($H653="—",$H653="")),1,0)</f>
        <v>0</v>
      </c>
      <c r="X653" s="30" t="n">
        <f aca="false">IF(AND(OR($F653="Analogy",$F653="Assumed"),$G653&lt;&gt;"低",$G653&lt;&gt;"高",NOT(ISNUMBER($K653)),NOT(ISNUMBER($L653)),OR($M653="—",$M653="")),1,0)</f>
        <v>0</v>
      </c>
      <c r="Y653" s="30" t="n">
        <f aca="false">IF(AND(OR($F653="Analogy",$F653="Assumed",$F653="Derived（待改公式）",$F653="Derived（公式）"),OR($N653="—",$N653="",$N653=0)),1,0)</f>
        <v>0</v>
      </c>
      <c r="Z653" s="30" t="n">
        <f aca="false">IF(AND($F653="Decision",OR($J653="—",$J653="")),1,0)</f>
        <v>0</v>
      </c>
      <c r="AA653" s="31" t="n">
        <f aca="false">IF(OR($J653="—",$J653=""),0,IF(COUNTIF(Decisions!$A$5:$A$300,$J653)=0,1,0))</f>
        <v>0</v>
      </c>
      <c r="AB653" s="30" t="n">
        <f aca="false">IF(AND($F653="原始數據",$S653&lt;&gt;"Active"),1,0)</f>
        <v>0</v>
      </c>
      <c r="AC653" s="30" t="n">
        <f aca="false">IF(AND(ISNUMBER($K653),ISNUMBER($L653),ISNUMBER($Q653)),IF(OR($Q653&lt;MIN($K653,$L653),$Q653&gt;MAX($K653,$L653)),1,0),0)</f>
        <v>0</v>
      </c>
      <c r="AD653" s="30" t="n">
        <f aca="false">IF(AND(ISNUMBER($T653),$P653="高"),IF($T653=3,1,0),0)</f>
        <v>0</v>
      </c>
      <c r="AE653" s="30" t="n">
        <f aca="false">IF($S653="不存在",1,0)</f>
        <v>0</v>
      </c>
      <c r="AF653" s="42" t="str">
        <f aca="false">IF(OR($H653="—",$H653=""),"—",MATCH($H653,IDX_SrcID,0))</f>
        <v>—</v>
      </c>
      <c r="AG653" s="30" t="n">
        <f aca="false">IF(AND($P653="高",OR($AD653=1,$X653=1)),1,0)</f>
        <v>0</v>
      </c>
      <c r="AH653" s="30" t="n">
        <f aca="false">IF(AND($P653="高",$AG653=0,OR($F653&lt;&gt;"原始數據",$T653&lt;&gt;1)),1,0)</f>
        <v>0</v>
      </c>
      <c r="AI653" s="42" t="str">
        <f aca="false">IF(AND($P653="高",ISNUMBER($AF653)),INDEX(IDX_SrcDate,$AF653),"—")</f>
        <v>—</v>
      </c>
      <c r="AJ653" s="30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28" t="s">
        <v>5778</v>
      </c>
      <c r="B654" s="198" t="s">
        <v>5765</v>
      </c>
      <c r="C654" s="28" t="s">
        <v>4952</v>
      </c>
      <c r="D654" s="28" t="s">
        <v>5779</v>
      </c>
      <c r="E654" s="6" t="s">
        <v>1646</v>
      </c>
      <c r="F654" s="28" t="s">
        <v>147</v>
      </c>
      <c r="G654" s="198" t="s">
        <v>3882</v>
      </c>
      <c r="H654" s="28" t="s">
        <v>620</v>
      </c>
      <c r="I654" s="6" t="s">
        <v>620</v>
      </c>
      <c r="J654" s="28" t="s">
        <v>5758</v>
      </c>
      <c r="K654" s="226" t="n">
        <v>2.341</v>
      </c>
      <c r="L654" s="226" t="n">
        <v>2.341</v>
      </c>
      <c r="M654" s="198" t="s">
        <v>5767</v>
      </c>
      <c r="N654" s="6" t="s">
        <v>5780</v>
      </c>
      <c r="O654" s="6" t="s">
        <v>620</v>
      </c>
      <c r="P654" s="198" t="s">
        <v>3885</v>
      </c>
      <c r="Q654" s="186" t="n">
        <f aca="false">Cap_In!C260</f>
        <v>2.341</v>
      </c>
      <c r="R654" s="28" t="s">
        <v>620</v>
      </c>
      <c r="S654" s="42" t="str">
        <f aca="false">IF(ISNUMBER($AF654),INDEX(IDX_SrcStat,$AF654),"—")</f>
        <v>—</v>
      </c>
      <c r="T654" s="42" t="str">
        <f aca="false">IF(ISNUMBER($AF654),INDEX(IDX_SrcGrade,$AF654),"—")</f>
        <v>—</v>
      </c>
      <c r="U654" s="42" t="s">
        <v>3886</v>
      </c>
      <c r="V654" s="30" t="n">
        <f aca="false">IF(AND($F654="原始數據",$U654&lt;&gt;"連結 SRC"),1,0)</f>
        <v>0</v>
      </c>
      <c r="W654" s="30" t="n">
        <f aca="false">IF(AND($F654="Analogy",OR($H654="—",$H654="")),1,0)</f>
        <v>0</v>
      </c>
      <c r="X654" s="30" t="n">
        <f aca="false">IF(AND(OR($F654="Analogy",$F654="Assumed"),$G654&lt;&gt;"低",$G654&lt;&gt;"高",NOT(ISNUMBER($K654)),NOT(ISNUMBER($L654)),OR($M654="—",$M654="")),1,0)</f>
        <v>0</v>
      </c>
      <c r="Y654" s="30" t="n">
        <f aca="false">IF(AND(OR($F654="Analogy",$F654="Assumed",$F654="Derived（待改公式）",$F654="Derived（公式）"),OR($N654="—",$N654="",$N654=0)),1,0)</f>
        <v>0</v>
      </c>
      <c r="Z654" s="30" t="n">
        <f aca="false">IF(AND($F654="Decision",OR($J654="—",$J654="")),1,0)</f>
        <v>0</v>
      </c>
      <c r="AA654" s="31" t="n">
        <f aca="false">IF(OR($J654="—",$J654=""),0,IF(COUNTIF(Decisions!$A$5:$A$300,$J654)=0,1,0))</f>
        <v>0</v>
      </c>
      <c r="AB654" s="30" t="n">
        <f aca="false">IF(AND($F654="原始數據",$S654&lt;&gt;"Active"),1,0)</f>
        <v>0</v>
      </c>
      <c r="AC654" s="30" t="n">
        <f aca="false">IF(AND(ISNUMBER($K654),ISNUMBER($L654),ISNUMBER($Q654)),IF(OR($Q654&lt;MIN($K654,$L654),$Q654&gt;MAX($K654,$L654)),1,0),0)</f>
        <v>0</v>
      </c>
      <c r="AD654" s="30" t="n">
        <f aca="false">IF(AND(ISNUMBER($T654),$P654="高"),IF($T654=3,1,0),0)</f>
        <v>0</v>
      </c>
      <c r="AE654" s="30" t="n">
        <f aca="false">IF($S654="不存在",1,0)</f>
        <v>0</v>
      </c>
      <c r="AF654" s="42" t="str">
        <f aca="false">IF(OR($H654="—",$H654=""),"—",MATCH($H654,IDX_SrcID,0))</f>
        <v>—</v>
      </c>
      <c r="AG654" s="30" t="n">
        <f aca="false">IF(AND($P654="高",OR($AD654=1,$X654=1)),1,0)</f>
        <v>0</v>
      </c>
      <c r="AH654" s="30" t="n">
        <f aca="false">IF(AND($P654="高",$AG654=0,OR($F654&lt;&gt;"原始數據",$T654&lt;&gt;1)),1,0)</f>
        <v>0</v>
      </c>
      <c r="AI654" s="42" t="str">
        <f aca="false">IF(AND($P654="高",ISNUMBER($AF654)),INDEX(IDX_SrcDate,$AF654),"—")</f>
        <v>—</v>
      </c>
      <c r="AJ654" s="30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28" t="s">
        <v>5781</v>
      </c>
      <c r="B655" s="198" t="s">
        <v>5765</v>
      </c>
      <c r="C655" s="28" t="s">
        <v>4952</v>
      </c>
      <c r="D655" s="28" t="s">
        <v>5782</v>
      </c>
      <c r="E655" s="6" t="s">
        <v>1646</v>
      </c>
      <c r="F655" s="28" t="s">
        <v>147</v>
      </c>
      <c r="G655" s="198" t="s">
        <v>3882</v>
      </c>
      <c r="H655" s="28" t="s">
        <v>620</v>
      </c>
      <c r="I655" s="6" t="s">
        <v>620</v>
      </c>
      <c r="J655" s="28" t="s">
        <v>5758</v>
      </c>
      <c r="K655" s="226" t="n">
        <v>1</v>
      </c>
      <c r="L655" s="226" t="n">
        <v>1</v>
      </c>
      <c r="M655" s="198" t="s">
        <v>5783</v>
      </c>
      <c r="N655" s="6" t="s">
        <v>5780</v>
      </c>
      <c r="O655" s="6" t="s">
        <v>620</v>
      </c>
      <c r="P655" s="198" t="s">
        <v>3885</v>
      </c>
      <c r="Q655" s="31" t="n">
        <f aca="false">Cap_In!D260</f>
        <v>1</v>
      </c>
      <c r="R655" s="28" t="s">
        <v>620</v>
      </c>
      <c r="S655" s="42" t="str">
        <f aca="false">IF(ISNUMBER($AF655),INDEX(IDX_SrcStat,$AF655),"—")</f>
        <v>—</v>
      </c>
      <c r="T655" s="42" t="str">
        <f aca="false">IF(ISNUMBER($AF655),INDEX(IDX_SrcGrade,$AF655),"—")</f>
        <v>—</v>
      </c>
      <c r="U655" s="42" t="s">
        <v>3886</v>
      </c>
      <c r="V655" s="30" t="n">
        <f aca="false">IF(AND($F655="原始數據",$U655&lt;&gt;"連結 SRC"),1,0)</f>
        <v>0</v>
      </c>
      <c r="W655" s="30" t="n">
        <f aca="false">IF(AND($F655="Analogy",OR($H655="—",$H655="")),1,0)</f>
        <v>0</v>
      </c>
      <c r="X655" s="30" t="n">
        <f aca="false">IF(AND(OR($F655="Analogy",$F655="Assumed"),$G655&lt;&gt;"低",$G655&lt;&gt;"高",NOT(ISNUMBER($K655)),NOT(ISNUMBER($L655)),OR($M655="—",$M655="")),1,0)</f>
        <v>0</v>
      </c>
      <c r="Y655" s="30" t="n">
        <f aca="false">IF(AND(OR($F655="Analogy",$F655="Assumed",$F655="Derived（待改公式）",$F655="Derived（公式）"),OR($N655="—",$N655="",$N655=0)),1,0)</f>
        <v>0</v>
      </c>
      <c r="Z655" s="30" t="n">
        <f aca="false">IF(AND($F655="Decision",OR($J655="—",$J655="")),1,0)</f>
        <v>0</v>
      </c>
      <c r="AA655" s="31" t="n">
        <f aca="false">IF(OR($J655="—",$J655=""),0,IF(COUNTIF(Decisions!$A$5:$A$300,$J655)=0,1,0))</f>
        <v>0</v>
      </c>
      <c r="AB655" s="30" t="n">
        <f aca="false">IF(AND($F655="原始數據",$S655&lt;&gt;"Active"),1,0)</f>
        <v>0</v>
      </c>
      <c r="AC655" s="30" t="n">
        <f aca="false">IF(AND(ISNUMBER($K655),ISNUMBER($L655),ISNUMBER($Q655)),IF(OR($Q655&lt;MIN($K655,$L655),$Q655&gt;MAX($K655,$L655)),1,0),0)</f>
        <v>0</v>
      </c>
      <c r="AD655" s="30" t="n">
        <f aca="false">IF(AND(ISNUMBER($T655),$P655="高"),IF($T655=3,1,0),0)</f>
        <v>0</v>
      </c>
      <c r="AE655" s="30" t="n">
        <f aca="false">IF($S655="不存在",1,0)</f>
        <v>0</v>
      </c>
      <c r="AF655" s="42" t="str">
        <f aca="false">IF(OR($H655="—",$H655=""),"—",MATCH($H655,IDX_SrcID,0))</f>
        <v>—</v>
      </c>
      <c r="AG655" s="30" t="n">
        <f aca="false">IF(AND($P655="高",OR($AD655=1,$X655=1)),1,0)</f>
        <v>0</v>
      </c>
      <c r="AH655" s="30" t="n">
        <f aca="false">IF(AND($P655="高",$AG655=0,OR($F655&lt;&gt;"原始數據",$T655&lt;&gt;1)),1,0)</f>
        <v>0</v>
      </c>
      <c r="AI655" s="42" t="str">
        <f aca="false">IF(AND($P655="高",ISNUMBER($AF655)),INDEX(IDX_SrcDate,$AF655),"—")</f>
        <v>—</v>
      </c>
      <c r="AJ655" s="30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28" t="s">
        <v>5784</v>
      </c>
      <c r="B656" s="198" t="s">
        <v>5785</v>
      </c>
      <c r="C656" s="28" t="s">
        <v>4904</v>
      </c>
      <c r="D656" s="28" t="s">
        <v>4313</v>
      </c>
      <c r="E656" s="6" t="s">
        <v>5786</v>
      </c>
      <c r="F656" s="28" t="s">
        <v>100</v>
      </c>
      <c r="G656" s="198" t="s">
        <v>3882</v>
      </c>
      <c r="H656" s="28" t="s">
        <v>620</v>
      </c>
      <c r="I656" s="6" t="s">
        <v>620</v>
      </c>
      <c r="J656" s="28" t="s">
        <v>5787</v>
      </c>
      <c r="K656" s="226" t="n">
        <v>0.787</v>
      </c>
      <c r="L656" s="226" t="n">
        <v>2.36</v>
      </c>
      <c r="M656" s="28" t="s">
        <v>5788</v>
      </c>
      <c r="N656" s="6" t="s">
        <v>5789</v>
      </c>
      <c r="O656" s="6" t="s">
        <v>620</v>
      </c>
      <c r="P656" s="198" t="s">
        <v>1151</v>
      </c>
      <c r="Q656" s="49" t="n">
        <f aca="false">Train_In!C34</f>
        <v>2.36</v>
      </c>
      <c r="R656" s="28" t="s">
        <v>620</v>
      </c>
      <c r="S656" s="42" t="str">
        <f aca="false">IF(ISNUMBER($AF656),INDEX(IDX_SrcStat,$AF656),"—")</f>
        <v>—</v>
      </c>
      <c r="T656" s="42" t="str">
        <f aca="false">IF(ISNUMBER($AF656),INDEX(IDX_SrcGrade,$AF656),"—")</f>
        <v>—</v>
      </c>
      <c r="U656" s="42" t="s">
        <v>3886</v>
      </c>
      <c r="V656" s="30" t="n">
        <f aca="false">IF(AND($F656="原始數據",$U656&lt;&gt;"連結 SRC"),1,0)</f>
        <v>0</v>
      </c>
      <c r="W656" s="30" t="n">
        <f aca="false">IF(AND($F656="Analogy",OR($H656="—",$H656="")),1,0)</f>
        <v>0</v>
      </c>
      <c r="X656" s="30" t="n">
        <f aca="false">IF(AND(OR($F656="Analogy",$F656="Assumed"),$G656&lt;&gt;"低",$G656&lt;&gt;"高",NOT(ISNUMBER($K656)),NOT(ISNUMBER($L656)),OR($M656="—",$M656="")),1,0)</f>
        <v>0</v>
      </c>
      <c r="Y656" s="30" t="n">
        <f aca="false">IF(AND(OR($F656="Analogy",$F656="Assumed",$F656="Derived（待改公式）",$F656="Derived（公式）"),OR($N656="—",$N656="",$N656=0)),1,0)</f>
        <v>0</v>
      </c>
      <c r="Z656" s="30" t="n">
        <f aca="false">IF(AND($F656="Decision",OR($J656="—",$J656="")),1,0)</f>
        <v>0</v>
      </c>
      <c r="AA656" s="31" t="n">
        <f aca="false">IF(OR($J656="—",$J656=""),0,IF(COUNTIF(Decisions!$A$5:$A$300,$J656)=0,1,0))</f>
        <v>0</v>
      </c>
      <c r="AB656" s="30" t="n">
        <f aca="false">IF(AND($F656="原始數據",$S656&lt;&gt;"Active"),1,0)</f>
        <v>0</v>
      </c>
      <c r="AC656" s="30" t="n">
        <f aca="false">IF(AND(ISNUMBER($K656),ISNUMBER($L656),ISNUMBER($Q656)),IF(OR($Q656&lt;MIN($K656,$L656),$Q656&gt;MAX($K656,$L656)),1,0),0)</f>
        <v>0</v>
      </c>
      <c r="AD656" s="30" t="n">
        <f aca="false">IF(AND(ISNUMBER($T656),$P656="高"),IF($T656=3,1,0),0)</f>
        <v>0</v>
      </c>
      <c r="AE656" s="30" t="n">
        <f aca="false">IF($S656="不存在",1,0)</f>
        <v>0</v>
      </c>
      <c r="AF656" s="42" t="str">
        <f aca="false">IF(OR($H656="—",$H656=""),"—",MATCH($H656,IDX_SrcID,0))</f>
        <v>—</v>
      </c>
      <c r="AG656" s="30" t="n">
        <f aca="false">IF(AND($P656="高",OR($AD656=1,$X656=1)),1,0)</f>
        <v>0</v>
      </c>
      <c r="AH656" s="30" t="n">
        <f aca="false">IF(AND($P656="高",$AG656=0,OR($F656&lt;&gt;"原始數據",$T656&lt;&gt;1)),1,0)</f>
        <v>1</v>
      </c>
      <c r="AI656" s="42" t="str">
        <f aca="false">IF(AND($P656="高",ISNUMBER($AF656)),INDEX(IDX_SrcDate,$AF656),"—")</f>
        <v>—</v>
      </c>
      <c r="AJ656" s="30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28" t="s">
        <v>5790</v>
      </c>
      <c r="B657" s="198" t="s">
        <v>5785</v>
      </c>
      <c r="C657" s="28" t="s">
        <v>4904</v>
      </c>
      <c r="D657" s="28" t="s">
        <v>4007</v>
      </c>
      <c r="E657" s="6" t="s">
        <v>5791</v>
      </c>
      <c r="F657" s="28" t="s">
        <v>100</v>
      </c>
      <c r="G657" s="198" t="s">
        <v>3882</v>
      </c>
      <c r="H657" s="28" t="s">
        <v>620</v>
      </c>
      <c r="I657" s="6" t="s">
        <v>620</v>
      </c>
      <c r="J657" s="28" t="s">
        <v>5787</v>
      </c>
      <c r="K657" s="226" t="n">
        <v>0.787</v>
      </c>
      <c r="L657" s="226" t="n">
        <v>2.36</v>
      </c>
      <c r="M657" s="28" t="s">
        <v>5788</v>
      </c>
      <c r="N657" s="6" t="s">
        <v>5789</v>
      </c>
      <c r="O657" s="6" t="s">
        <v>620</v>
      </c>
      <c r="P657" s="198" t="s">
        <v>1151</v>
      </c>
      <c r="Q657" s="49" t="n">
        <f aca="false">Train_In!D34</f>
        <v>2.36</v>
      </c>
      <c r="R657" s="28" t="s">
        <v>620</v>
      </c>
      <c r="S657" s="42" t="str">
        <f aca="false">IF(ISNUMBER($AF657),INDEX(IDX_SrcStat,$AF657),"—")</f>
        <v>—</v>
      </c>
      <c r="T657" s="42" t="str">
        <f aca="false">IF(ISNUMBER($AF657),INDEX(IDX_SrcGrade,$AF657),"—")</f>
        <v>—</v>
      </c>
      <c r="U657" s="42" t="s">
        <v>3886</v>
      </c>
      <c r="V657" s="30" t="n">
        <f aca="false">IF(AND($F657="原始數據",$U657&lt;&gt;"連結 SRC"),1,0)</f>
        <v>0</v>
      </c>
      <c r="W657" s="30" t="n">
        <f aca="false">IF(AND($F657="Analogy",OR($H657="—",$H657="")),1,0)</f>
        <v>0</v>
      </c>
      <c r="X657" s="30" t="n">
        <f aca="false">IF(AND(OR($F657="Analogy",$F657="Assumed"),$G657&lt;&gt;"低",$G657&lt;&gt;"高",NOT(ISNUMBER($K657)),NOT(ISNUMBER($L657)),OR($M657="—",$M657="")),1,0)</f>
        <v>0</v>
      </c>
      <c r="Y657" s="30" t="n">
        <f aca="false">IF(AND(OR($F657="Analogy",$F657="Assumed",$F657="Derived（待改公式）",$F657="Derived（公式）"),OR($N657="—",$N657="",$N657=0)),1,0)</f>
        <v>0</v>
      </c>
      <c r="Z657" s="30" t="n">
        <f aca="false">IF(AND($F657="Decision",OR($J657="—",$J657="")),1,0)</f>
        <v>0</v>
      </c>
      <c r="AA657" s="31" t="n">
        <f aca="false">IF(OR($J657="—",$J657=""),0,IF(COUNTIF(Decisions!$A$5:$A$300,$J657)=0,1,0))</f>
        <v>0</v>
      </c>
      <c r="AB657" s="30" t="n">
        <f aca="false">IF(AND($F657="原始數據",$S657&lt;&gt;"Active"),1,0)</f>
        <v>0</v>
      </c>
      <c r="AC657" s="30" t="n">
        <f aca="false">IF(AND(ISNUMBER($K657),ISNUMBER($L657),ISNUMBER($Q657)),IF(OR($Q657&lt;MIN($K657,$L657),$Q657&gt;MAX($K657,$L657)),1,0),0)</f>
        <v>0</v>
      </c>
      <c r="AD657" s="30" t="n">
        <f aca="false">IF(AND(ISNUMBER($T657),$P657="高"),IF($T657=3,1,0),0)</f>
        <v>0</v>
      </c>
      <c r="AE657" s="30" t="n">
        <f aca="false">IF($S657="不存在",1,0)</f>
        <v>0</v>
      </c>
      <c r="AF657" s="42" t="str">
        <f aca="false">IF(OR($H657="—",$H657=""),"—",MATCH($H657,IDX_SrcID,0))</f>
        <v>—</v>
      </c>
      <c r="AG657" s="30" t="n">
        <f aca="false">IF(AND($P657="高",OR($AD657=1,$X657=1)),1,0)</f>
        <v>0</v>
      </c>
      <c r="AH657" s="30" t="n">
        <f aca="false">IF(AND($P657="高",$AG657=0,OR($F657&lt;&gt;"原始數據",$T657&lt;&gt;1)),1,0)</f>
        <v>1</v>
      </c>
      <c r="AI657" s="42" t="str">
        <f aca="false">IF(AND($P657="高",ISNUMBER($AF657)),INDEX(IDX_SrcDate,$AF657),"—")</f>
        <v>—</v>
      </c>
      <c r="AJ657" s="30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28" t="s">
        <v>5792</v>
      </c>
      <c r="B658" s="198" t="s">
        <v>5785</v>
      </c>
      <c r="C658" s="28" t="s">
        <v>4904</v>
      </c>
      <c r="D658" s="28" t="s">
        <v>4005</v>
      </c>
      <c r="E658" s="6" t="s">
        <v>5793</v>
      </c>
      <c r="F658" s="28" t="s">
        <v>100</v>
      </c>
      <c r="G658" s="198" t="s">
        <v>3882</v>
      </c>
      <c r="H658" s="28" t="s">
        <v>620</v>
      </c>
      <c r="I658" s="6" t="s">
        <v>620</v>
      </c>
      <c r="J658" s="28" t="s">
        <v>5787</v>
      </c>
      <c r="K658" s="226" t="n">
        <v>0.96</v>
      </c>
      <c r="L658" s="226" t="n">
        <v>19.2</v>
      </c>
      <c r="M658" s="28" t="s">
        <v>5794</v>
      </c>
      <c r="N658" s="6" t="s">
        <v>5795</v>
      </c>
      <c r="O658" s="6" t="s">
        <v>620</v>
      </c>
      <c r="P658" s="198" t="s">
        <v>1151</v>
      </c>
      <c r="Q658" s="49" t="n">
        <f aca="false">Train_In!E34</f>
        <v>9.6</v>
      </c>
      <c r="R658" s="28" t="s">
        <v>620</v>
      </c>
      <c r="S658" s="42" t="str">
        <f aca="false">IF(ISNUMBER($AF658),INDEX(IDX_SrcStat,$AF658),"—")</f>
        <v>—</v>
      </c>
      <c r="T658" s="42" t="str">
        <f aca="false">IF(ISNUMBER($AF658),INDEX(IDX_SrcGrade,$AF658),"—")</f>
        <v>—</v>
      </c>
      <c r="U658" s="42" t="s">
        <v>3886</v>
      </c>
      <c r="V658" s="30" t="n">
        <f aca="false">IF(AND($F658="原始數據",$U658&lt;&gt;"連結 SRC"),1,0)</f>
        <v>0</v>
      </c>
      <c r="W658" s="30" t="n">
        <f aca="false">IF(AND($F658="Analogy",OR($H658="—",$H658="")),1,0)</f>
        <v>0</v>
      </c>
      <c r="X658" s="30" t="n">
        <f aca="false">IF(AND(OR($F658="Analogy",$F658="Assumed"),$G658&lt;&gt;"低",$G658&lt;&gt;"高",NOT(ISNUMBER($K658)),NOT(ISNUMBER($L658)),OR($M658="—",$M658="")),1,0)</f>
        <v>0</v>
      </c>
      <c r="Y658" s="30" t="n">
        <f aca="false">IF(AND(OR($F658="Analogy",$F658="Assumed",$F658="Derived（待改公式）",$F658="Derived（公式）"),OR($N658="—",$N658="",$N658=0)),1,0)</f>
        <v>0</v>
      </c>
      <c r="Z658" s="30" t="n">
        <f aca="false">IF(AND($F658="Decision",OR($J658="—",$J658="")),1,0)</f>
        <v>0</v>
      </c>
      <c r="AA658" s="31" t="n">
        <f aca="false">IF(OR($J658="—",$J658=""),0,IF(COUNTIF(Decisions!$A$5:$A$300,$J658)=0,1,0))</f>
        <v>0</v>
      </c>
      <c r="AB658" s="30" t="n">
        <f aca="false">IF(AND($F658="原始數據",$S658&lt;&gt;"Active"),1,0)</f>
        <v>0</v>
      </c>
      <c r="AC658" s="30" t="n">
        <f aca="false">IF(AND(ISNUMBER($K658),ISNUMBER($L658),ISNUMBER($Q658)),IF(OR($Q658&lt;MIN($K658,$L658),$Q658&gt;MAX($K658,$L658)),1,0),0)</f>
        <v>0</v>
      </c>
      <c r="AD658" s="30" t="n">
        <f aca="false">IF(AND(ISNUMBER($T658),$P658="高"),IF($T658=3,1,0),0)</f>
        <v>0</v>
      </c>
      <c r="AE658" s="30" t="n">
        <f aca="false">IF($S658="不存在",1,0)</f>
        <v>0</v>
      </c>
      <c r="AF658" s="42" t="str">
        <f aca="false">IF(OR($H658="—",$H658=""),"—",MATCH($H658,IDX_SrcID,0))</f>
        <v>—</v>
      </c>
      <c r="AG658" s="30" t="n">
        <f aca="false">IF(AND($P658="高",OR($AD658=1,$X658=1)),1,0)</f>
        <v>0</v>
      </c>
      <c r="AH658" s="30" t="n">
        <f aca="false">IF(AND($P658="高",$AG658=0,OR($F658&lt;&gt;"原始數據",$T658&lt;&gt;1)),1,0)</f>
        <v>1</v>
      </c>
      <c r="AI658" s="42" t="str">
        <f aca="false">IF(AND($P658="高",ISNUMBER($AF658)),INDEX(IDX_SrcDate,$AF658),"—")</f>
        <v>—</v>
      </c>
      <c r="AJ658" s="30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28" t="s">
        <v>5796</v>
      </c>
      <c r="B659" s="198" t="s">
        <v>5785</v>
      </c>
      <c r="C659" s="28" t="s">
        <v>5095</v>
      </c>
      <c r="D659" s="28" t="s">
        <v>5223</v>
      </c>
      <c r="E659" s="228" t="s">
        <v>5797</v>
      </c>
      <c r="F659" s="28" t="s">
        <v>100</v>
      </c>
      <c r="G659" s="198" t="s">
        <v>4636</v>
      </c>
      <c r="H659" s="28" t="s">
        <v>620</v>
      </c>
      <c r="I659" s="6" t="s">
        <v>620</v>
      </c>
      <c r="J659" s="28" t="s">
        <v>5787</v>
      </c>
      <c r="K659" s="226" t="n">
        <v>0.7</v>
      </c>
      <c r="L659" s="226" t="n">
        <v>1.7</v>
      </c>
      <c r="M659" s="28" t="s">
        <v>5798</v>
      </c>
      <c r="N659" s="6" t="s">
        <v>5799</v>
      </c>
      <c r="O659" s="6" t="s">
        <v>620</v>
      </c>
      <c r="P659" s="198" t="s">
        <v>3885</v>
      </c>
      <c r="Q659" s="177" t="s">
        <v>620</v>
      </c>
      <c r="R659" s="28" t="s">
        <v>620</v>
      </c>
      <c r="S659" s="42" t="str">
        <f aca="false">IF(ISNUMBER($AF659),INDEX(IDX_SrcStat,$AF659),"—")</f>
        <v>—</v>
      </c>
      <c r="T659" s="42" t="str">
        <f aca="false">IF(ISNUMBER($AF659),INDEX(IDX_SrcGrade,$AF659),"—")</f>
        <v>—</v>
      </c>
      <c r="U659" s="28" t="s">
        <v>620</v>
      </c>
      <c r="V659" s="30" t="n">
        <f aca="false">IF(AND($F659="原始數據",$U659&lt;&gt;"連結 SRC"),1,0)</f>
        <v>0</v>
      </c>
      <c r="W659" s="30" t="n">
        <f aca="false">IF(AND($F659="Analogy",OR($H659="—",$H659="")),1,0)</f>
        <v>0</v>
      </c>
      <c r="X659" s="30" t="n">
        <f aca="false">IF(AND(OR($F659="Analogy",$F659="Assumed"),$G659&lt;&gt;"低",$G659&lt;&gt;"高",NOT(ISNUMBER($K659)),NOT(ISNUMBER($L659)),OR($M659="—",$M659="")),1,0)</f>
        <v>0</v>
      </c>
      <c r="Y659" s="30" t="n">
        <f aca="false">IF(AND(OR($F659="Analogy",$F659="Assumed",$F659="Derived（待改公式）",$F659="Derived（公式）"),OR($N659="—",$N659="",$N659=0)),1,0)</f>
        <v>0</v>
      </c>
      <c r="Z659" s="30" t="n">
        <f aca="false">IF(AND($F659="Decision",OR($J659="—",$J659="")),1,0)</f>
        <v>0</v>
      </c>
      <c r="AA659" s="31" t="n">
        <f aca="false">IF(OR($J659="—",$J659=""),0,IF(COUNTIF(Decisions!$A$5:$A$300,$J659)=0,1,0))</f>
        <v>0</v>
      </c>
      <c r="AB659" s="30" t="n">
        <f aca="false">IF(AND($F659="原始數據",$S659&lt;&gt;"Active"),1,0)</f>
        <v>0</v>
      </c>
      <c r="AC659" s="30" t="n">
        <f aca="false">IF(AND(ISNUMBER($K659),ISNUMBER($L659),ISNUMBER($Q659)),IF(OR($Q659&lt;MIN($K659,$L659),$Q659&gt;MAX($K659,$L659)),1,0),0)</f>
        <v>0</v>
      </c>
      <c r="AD659" s="30" t="n">
        <f aca="false">IF(AND(ISNUMBER($T659),$P659="高"),IF($T659=3,1,0),0)</f>
        <v>0</v>
      </c>
      <c r="AE659" s="30" t="n">
        <f aca="false">IF($S659="不存在",1,0)</f>
        <v>0</v>
      </c>
      <c r="AF659" s="42" t="str">
        <f aca="false">IF(OR($H659="—",$H659=""),"—",MATCH($H659,IDX_SrcID,0))</f>
        <v>—</v>
      </c>
      <c r="AG659" s="30" t="n">
        <f aca="false">IF(AND($P659="高",OR($AD659=1,$X659=1)),1,0)</f>
        <v>0</v>
      </c>
      <c r="AH659" s="30" t="n">
        <f aca="false">IF(AND($P659="高",$AG659=0,OR($F659&lt;&gt;"原始數據",$T659&lt;&gt;1)),1,0)</f>
        <v>0</v>
      </c>
      <c r="AI659" s="42" t="str">
        <f aca="false">IF(AND($P659="高",ISNUMBER($AF659)),INDEX(IDX_SrcDate,$AF659),"—")</f>
        <v>—</v>
      </c>
      <c r="AJ659" s="30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28" t="s">
        <v>5800</v>
      </c>
      <c r="B660" s="198" t="s">
        <v>5801</v>
      </c>
      <c r="C660" s="28" t="s">
        <v>4044</v>
      </c>
      <c r="D660" s="28" t="s">
        <v>5802</v>
      </c>
      <c r="E660" s="228" t="s">
        <v>5803</v>
      </c>
      <c r="F660" s="28" t="s">
        <v>100</v>
      </c>
      <c r="G660" s="198" t="s">
        <v>3882</v>
      </c>
      <c r="H660" s="28" t="s">
        <v>620</v>
      </c>
      <c r="I660" s="6" t="s">
        <v>620</v>
      </c>
      <c r="J660" s="28" t="s">
        <v>5804</v>
      </c>
      <c r="K660" s="198"/>
      <c r="L660" s="198"/>
      <c r="M660" s="198" t="s">
        <v>5805</v>
      </c>
      <c r="N660" s="6" t="s">
        <v>5806</v>
      </c>
      <c r="O660" s="6" t="s">
        <v>620</v>
      </c>
      <c r="P660" s="198" t="s">
        <v>1151</v>
      </c>
      <c r="Q660" s="177" t="s">
        <v>620</v>
      </c>
      <c r="R660" s="28" t="s">
        <v>620</v>
      </c>
      <c r="S660" s="42" t="str">
        <f aca="false">IF(ISNUMBER($AF660),INDEX(IDX_SrcStat,$AF660),"—")</f>
        <v>—</v>
      </c>
      <c r="T660" s="42" t="str">
        <f aca="false">IF(ISNUMBER($AF660),INDEX(IDX_SrcGrade,$AF660),"—")</f>
        <v>—</v>
      </c>
      <c r="U660" s="28" t="s">
        <v>620</v>
      </c>
      <c r="V660" s="30" t="n">
        <f aca="false">IF(AND($F660="原始數據",$U660&lt;&gt;"連結 SRC"),1,0)</f>
        <v>0</v>
      </c>
      <c r="W660" s="30" t="n">
        <f aca="false">IF(AND($F660="Analogy",OR($H660="—",$H660="")),1,0)</f>
        <v>0</v>
      </c>
      <c r="X660" s="30" t="n">
        <f aca="false">IF(AND(OR($F660="Analogy",$F660="Assumed"),$G660&lt;&gt;"低",$G660&lt;&gt;"高",NOT(ISNUMBER($K660)),NOT(ISNUMBER($L660)),OR($M660="—",$M660="")),1,0)</f>
        <v>0</v>
      </c>
      <c r="Y660" s="30" t="n">
        <f aca="false">IF(AND(OR($F660="Analogy",$F660="Assumed",$F660="Derived（待改公式）",$F660="Derived（公式）"),OR($N660="—",$N660="",$N660=0)),1,0)</f>
        <v>0</v>
      </c>
      <c r="Z660" s="30" t="n">
        <f aca="false">IF(AND($F660="Decision",OR($J660="—",$J660="")),1,0)</f>
        <v>0</v>
      </c>
      <c r="AA660" s="31" t="n">
        <f aca="false">IF(OR($J660="—",$J660=""),0,IF(COUNTIF(Decisions!$A$5:$A$300,$J660)=0,1,0))</f>
        <v>0</v>
      </c>
      <c r="AB660" s="30" t="n">
        <f aca="false">IF(AND($F660="原始數據",$S660&lt;&gt;"Active"),1,0)</f>
        <v>0</v>
      </c>
      <c r="AC660" s="30" t="n">
        <f aca="false">IF(AND(ISNUMBER($K660),ISNUMBER($L660),ISNUMBER($Q660)),IF(OR($Q660&lt;MIN($K660,$L660),$Q660&gt;MAX($K660,$L660)),1,0),0)</f>
        <v>0</v>
      </c>
      <c r="AD660" s="30" t="n">
        <f aca="false">IF(AND(ISNUMBER($T660),$P660="高"),IF($T660=3,1,0),0)</f>
        <v>0</v>
      </c>
      <c r="AE660" s="30" t="n">
        <f aca="false">IF($S660="不存在",1,0)</f>
        <v>0</v>
      </c>
      <c r="AF660" s="42" t="str">
        <f aca="false">IF(OR($H660="—",$H660=""),"—",MATCH($H660,IDX_SrcID,0))</f>
        <v>—</v>
      </c>
      <c r="AG660" s="30" t="n">
        <f aca="false">IF(AND($P660="高",OR($AD660=1,$X660=1)),1,0)</f>
        <v>0</v>
      </c>
      <c r="AH660" s="30" t="n">
        <f aca="false">IF(AND($P660="高",$AG660=0,OR($F660&lt;&gt;"原始數據",$T660&lt;&gt;1)),1,0)</f>
        <v>1</v>
      </c>
      <c r="AI660" s="42" t="str">
        <f aca="false">IF(AND($P660="高",ISNUMBER($AF660)),INDEX(IDX_SrcDate,$AF660),"—")</f>
        <v>—</v>
      </c>
      <c r="AJ660" s="30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28" t="s">
        <v>5807</v>
      </c>
      <c r="B661" s="198" t="s">
        <v>5801</v>
      </c>
      <c r="C661" s="28" t="s">
        <v>4044</v>
      </c>
      <c r="D661" s="28" t="s">
        <v>5808</v>
      </c>
      <c r="E661" s="228" t="s">
        <v>5809</v>
      </c>
      <c r="F661" s="28" t="s">
        <v>100</v>
      </c>
      <c r="G661" s="198" t="s">
        <v>1150</v>
      </c>
      <c r="H661" s="28" t="s">
        <v>620</v>
      </c>
      <c r="I661" s="6" t="s">
        <v>620</v>
      </c>
      <c r="J661" s="28" t="s">
        <v>5804</v>
      </c>
      <c r="K661" s="198"/>
      <c r="L661" s="198"/>
      <c r="M661" s="198" t="s">
        <v>5810</v>
      </c>
      <c r="N661" s="6" t="s">
        <v>5811</v>
      </c>
      <c r="O661" s="6" t="s">
        <v>620</v>
      </c>
      <c r="P661" s="198" t="s">
        <v>1151</v>
      </c>
      <c r="Q661" s="177" t="s">
        <v>620</v>
      </c>
      <c r="R661" s="28" t="s">
        <v>620</v>
      </c>
      <c r="S661" s="42" t="str">
        <f aca="false">IF(ISNUMBER($AF661),INDEX(IDX_SrcStat,$AF661),"—")</f>
        <v>—</v>
      </c>
      <c r="T661" s="42" t="str">
        <f aca="false">IF(ISNUMBER($AF661),INDEX(IDX_SrcGrade,$AF661),"—")</f>
        <v>—</v>
      </c>
      <c r="U661" s="28" t="s">
        <v>620</v>
      </c>
      <c r="V661" s="30" t="n">
        <f aca="false">IF(AND($F661="原始數據",$U661&lt;&gt;"連結 SRC"),1,0)</f>
        <v>0</v>
      </c>
      <c r="W661" s="30" t="n">
        <f aca="false">IF(AND($F661="Analogy",OR($H661="—",$H661="")),1,0)</f>
        <v>0</v>
      </c>
      <c r="X661" s="30" t="n">
        <f aca="false">IF(AND(OR($F661="Analogy",$F661="Assumed"),$G661&lt;&gt;"低",$G661&lt;&gt;"高",NOT(ISNUMBER($K661)),NOT(ISNUMBER($L661)),OR($M661="—",$M661="")),1,0)</f>
        <v>0</v>
      </c>
      <c r="Y661" s="30" t="n">
        <f aca="false">IF(AND(OR($F661="Analogy",$F661="Assumed",$F661="Derived（待改公式）",$F661="Derived（公式）"),OR($N661="—",$N661="",$N661=0)),1,0)</f>
        <v>0</v>
      </c>
      <c r="Z661" s="30" t="n">
        <f aca="false">IF(AND($F661="Decision",OR($J661="—",$J661="")),1,0)</f>
        <v>0</v>
      </c>
      <c r="AA661" s="31" t="n">
        <f aca="false">IF(OR($J661="—",$J661=""),0,IF(COUNTIF(Decisions!$A$5:$A$300,$J661)=0,1,0))</f>
        <v>0</v>
      </c>
      <c r="AB661" s="30" t="n">
        <f aca="false">IF(AND($F661="原始數據",$S661&lt;&gt;"Active"),1,0)</f>
        <v>0</v>
      </c>
      <c r="AC661" s="30" t="n">
        <f aca="false">IF(AND(ISNUMBER($K661),ISNUMBER($L661),ISNUMBER($Q661)),IF(OR($Q661&lt;MIN($K661,$L661),$Q661&gt;MAX($K661,$L661)),1,0),0)</f>
        <v>0</v>
      </c>
      <c r="AD661" s="30" t="n">
        <f aca="false">IF(AND(ISNUMBER($T661),$P661="高"),IF($T661=3,1,0),0)</f>
        <v>0</v>
      </c>
      <c r="AE661" s="30" t="n">
        <f aca="false">IF($S661="不存在",1,0)</f>
        <v>0</v>
      </c>
      <c r="AF661" s="42" t="str">
        <f aca="false">IF(OR($H661="—",$H661=""),"—",MATCH($H661,IDX_SrcID,0))</f>
        <v>—</v>
      </c>
      <c r="AG661" s="30" t="n">
        <f aca="false">IF(AND($P661="高",OR($AD661=1,$X661=1)),1,0)</f>
        <v>0</v>
      </c>
      <c r="AH661" s="30" t="n">
        <f aca="false">IF(AND($P661="高",$AG661=0,OR($F661&lt;&gt;"原始數據",$T661&lt;&gt;1)),1,0)</f>
        <v>1</v>
      </c>
      <c r="AI661" s="42" t="str">
        <f aca="false">IF(AND($P661="高",ISNUMBER($AF661)),INDEX(IDX_SrcDate,$AF661),"—")</f>
        <v>—</v>
      </c>
      <c r="AJ661" s="30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28" t="s">
        <v>5812</v>
      </c>
      <c r="B662" s="198" t="s">
        <v>5801</v>
      </c>
      <c r="C662" s="28" t="s">
        <v>4044</v>
      </c>
      <c r="D662" s="28" t="s">
        <v>5813</v>
      </c>
      <c r="E662" s="228" t="s">
        <v>5814</v>
      </c>
      <c r="F662" s="28" t="s">
        <v>100</v>
      </c>
      <c r="G662" s="198" t="s">
        <v>1151</v>
      </c>
      <c r="H662" s="28" t="s">
        <v>620</v>
      </c>
      <c r="I662" s="6" t="s">
        <v>620</v>
      </c>
      <c r="J662" s="28" t="s">
        <v>5804</v>
      </c>
      <c r="K662" s="198"/>
      <c r="L662" s="198"/>
      <c r="M662" s="198" t="s">
        <v>5815</v>
      </c>
      <c r="N662" s="6" t="s">
        <v>5811</v>
      </c>
      <c r="O662" s="6" t="s">
        <v>620</v>
      </c>
      <c r="P662" s="198" t="s">
        <v>1151</v>
      </c>
      <c r="Q662" s="177" t="s">
        <v>620</v>
      </c>
      <c r="R662" s="28" t="s">
        <v>620</v>
      </c>
      <c r="S662" s="42" t="str">
        <f aca="false">IF(ISNUMBER($AF662),INDEX(IDX_SrcStat,$AF662),"—")</f>
        <v>—</v>
      </c>
      <c r="T662" s="42" t="str">
        <f aca="false">IF(ISNUMBER($AF662),INDEX(IDX_SrcGrade,$AF662),"—")</f>
        <v>—</v>
      </c>
      <c r="U662" s="28" t="s">
        <v>620</v>
      </c>
      <c r="V662" s="30" t="n">
        <f aca="false">IF(AND($F662="原始數據",$U662&lt;&gt;"連結 SRC"),1,0)</f>
        <v>0</v>
      </c>
      <c r="W662" s="30" t="n">
        <f aca="false">IF(AND($F662="Analogy",OR($H662="—",$H662="")),1,0)</f>
        <v>0</v>
      </c>
      <c r="X662" s="30" t="n">
        <f aca="false">IF(AND(OR($F662="Analogy",$F662="Assumed"),$G662&lt;&gt;"低",$G662&lt;&gt;"高",NOT(ISNUMBER($K662)),NOT(ISNUMBER($L662)),OR($M662="—",$M662="")),1,0)</f>
        <v>0</v>
      </c>
      <c r="Y662" s="30" t="n">
        <f aca="false">IF(AND(OR($F662="Analogy",$F662="Assumed",$F662="Derived（待改公式）",$F662="Derived（公式）"),OR($N662="—",$N662="",$N662=0)),1,0)</f>
        <v>0</v>
      </c>
      <c r="Z662" s="30" t="n">
        <f aca="false">IF(AND($F662="Decision",OR($J662="—",$J662="")),1,0)</f>
        <v>0</v>
      </c>
      <c r="AA662" s="31" t="n">
        <f aca="false">IF(OR($J662="—",$J662=""),0,IF(COUNTIF(Decisions!$A$5:$A$300,$J662)=0,1,0))</f>
        <v>0</v>
      </c>
      <c r="AB662" s="30" t="n">
        <f aca="false">IF(AND($F662="原始數據",$S662&lt;&gt;"Active"),1,0)</f>
        <v>0</v>
      </c>
      <c r="AC662" s="30" t="n">
        <f aca="false">IF(AND(ISNUMBER($K662),ISNUMBER($L662),ISNUMBER($Q662)),IF(OR($Q662&lt;MIN($K662,$L662),$Q662&gt;MAX($K662,$L662)),1,0),0)</f>
        <v>0</v>
      </c>
      <c r="AD662" s="30" t="n">
        <f aca="false">IF(AND(ISNUMBER($T662),$P662="高"),IF($T662=3,1,0),0)</f>
        <v>0</v>
      </c>
      <c r="AE662" s="30" t="n">
        <f aca="false">IF($S662="不存在",1,0)</f>
        <v>0</v>
      </c>
      <c r="AF662" s="42" t="str">
        <f aca="false">IF(OR($H662="—",$H662=""),"—",MATCH($H662,IDX_SrcID,0))</f>
        <v>—</v>
      </c>
      <c r="AG662" s="30" t="n">
        <f aca="false">IF(AND($P662="高",OR($AD662=1,$X662=1)),1,0)</f>
        <v>0</v>
      </c>
      <c r="AH662" s="30" t="n">
        <f aca="false">IF(AND($P662="高",$AG662=0,OR($F662&lt;&gt;"原始數據",$T662&lt;&gt;1)),1,0)</f>
        <v>1</v>
      </c>
      <c r="AI662" s="42" t="str">
        <f aca="false">IF(AND($P662="高",ISNUMBER($AF662)),INDEX(IDX_SrcDate,$AF662),"—")</f>
        <v>—</v>
      </c>
      <c r="AJ662" s="30" t="n">
        <f aca="false">IF(AND(ISTEXT($AI662),LEN($AI662)=10),IF(ISNUMBER(VALUE(SUBSTITUTE($AI662,"-",""))),VALUE(SUBSTITUTE($AI662,"-","")),0),0)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21" t="s">
        <v>5816</v>
      </c>
    </row>
    <row r="2" customFormat="false" ht="15" hidden="false" customHeight="true" outlineLevel="0" collapsed="false">
      <c r="A2" s="43" t="s">
        <v>5817</v>
      </c>
    </row>
    <row r="4" customFormat="false" ht="29.25" hidden="false" customHeight="true" outlineLevel="0" collapsed="false">
      <c r="A4" s="222" t="s">
        <v>3855</v>
      </c>
      <c r="B4" s="222" t="s">
        <v>3383</v>
      </c>
      <c r="C4" s="222" t="s">
        <v>370</v>
      </c>
      <c r="D4" s="222" t="s">
        <v>5818</v>
      </c>
      <c r="E4" s="222" t="s">
        <v>5819</v>
      </c>
      <c r="F4" s="84" t="s">
        <v>5820</v>
      </c>
      <c r="G4" s="222" t="s">
        <v>607</v>
      </c>
      <c r="H4" s="222" t="s">
        <v>5821</v>
      </c>
      <c r="I4" s="222" t="s">
        <v>5822</v>
      </c>
      <c r="J4" s="222" t="s">
        <v>5823</v>
      </c>
    </row>
    <row r="5" customFormat="false" ht="29.25" hidden="false" customHeight="true" outlineLevel="0" collapsed="false">
      <c r="A5" s="28" t="s">
        <v>3883</v>
      </c>
      <c r="B5" s="28" t="s">
        <v>5824</v>
      </c>
      <c r="C5" s="19" t="s">
        <v>6</v>
      </c>
      <c r="D5" s="6" t="s">
        <v>5825</v>
      </c>
      <c r="E5" s="28" t="s">
        <v>5826</v>
      </c>
      <c r="F5" s="6" t="s">
        <v>620</v>
      </c>
      <c r="G5" s="224" t="s">
        <v>5827</v>
      </c>
      <c r="H5" s="6" t="s">
        <v>5828</v>
      </c>
      <c r="I5" s="224" t="s">
        <v>5829</v>
      </c>
      <c r="J5" s="224" t="s">
        <v>651</v>
      </c>
    </row>
    <row r="6" customFormat="false" ht="29.25" hidden="false" customHeight="true" outlineLevel="0" collapsed="false">
      <c r="A6" s="28" t="s">
        <v>5830</v>
      </c>
      <c r="B6" s="28" t="s">
        <v>5824</v>
      </c>
      <c r="C6" s="19" t="s">
        <v>171</v>
      </c>
      <c r="D6" s="6" t="s">
        <v>5831</v>
      </c>
      <c r="E6" s="28" t="s">
        <v>5826</v>
      </c>
      <c r="F6" s="6" t="s">
        <v>620</v>
      </c>
      <c r="G6" s="224" t="s">
        <v>5827</v>
      </c>
      <c r="H6" s="6" t="s">
        <v>620</v>
      </c>
      <c r="I6" s="224" t="s">
        <v>5829</v>
      </c>
      <c r="J6" s="224" t="s">
        <v>651</v>
      </c>
    </row>
    <row r="7" customFormat="false" ht="29.25" hidden="false" customHeight="true" outlineLevel="0" collapsed="false">
      <c r="A7" s="28" t="s">
        <v>3888</v>
      </c>
      <c r="B7" s="28" t="s">
        <v>5824</v>
      </c>
      <c r="C7" s="6" t="s">
        <v>5832</v>
      </c>
      <c r="D7" s="19" t="s">
        <v>5833</v>
      </c>
      <c r="E7" s="28" t="s">
        <v>5826</v>
      </c>
      <c r="F7" s="6" t="s">
        <v>620</v>
      </c>
      <c r="G7" s="224" t="s">
        <v>5827</v>
      </c>
      <c r="H7" s="6" t="s">
        <v>5834</v>
      </c>
      <c r="I7" s="224" t="s">
        <v>5829</v>
      </c>
      <c r="J7" s="224" t="s">
        <v>651</v>
      </c>
    </row>
    <row r="8" customFormat="false" ht="29.25" hidden="false" customHeight="true" outlineLevel="0" collapsed="false">
      <c r="A8" s="28" t="s">
        <v>4019</v>
      </c>
      <c r="B8" s="28" t="s">
        <v>5824</v>
      </c>
      <c r="C8" s="19" t="s">
        <v>5835</v>
      </c>
      <c r="D8" s="19" t="s">
        <v>5836</v>
      </c>
      <c r="E8" s="28" t="s">
        <v>5826</v>
      </c>
      <c r="F8" s="6" t="s">
        <v>620</v>
      </c>
      <c r="G8" s="224" t="s">
        <v>5827</v>
      </c>
      <c r="H8" s="6" t="s">
        <v>5837</v>
      </c>
      <c r="I8" s="224" t="s">
        <v>5829</v>
      </c>
      <c r="J8" s="224" t="s">
        <v>651</v>
      </c>
    </row>
    <row r="9" customFormat="false" ht="15" hidden="false" customHeight="true" outlineLevel="0" collapsed="false">
      <c r="A9" s="28" t="s">
        <v>4546</v>
      </c>
      <c r="B9" s="28" t="s">
        <v>5824</v>
      </c>
      <c r="C9" s="19" t="s">
        <v>265</v>
      </c>
      <c r="D9" s="19" t="s">
        <v>5838</v>
      </c>
      <c r="E9" s="28" t="s">
        <v>5826</v>
      </c>
      <c r="F9" s="6" t="s">
        <v>620</v>
      </c>
      <c r="G9" s="224" t="s">
        <v>5827</v>
      </c>
      <c r="H9" s="6" t="s">
        <v>620</v>
      </c>
      <c r="I9" s="224" t="s">
        <v>5829</v>
      </c>
      <c r="J9" s="224" t="s">
        <v>651</v>
      </c>
    </row>
    <row r="10" customFormat="false" ht="15" hidden="false" customHeight="true" outlineLevel="0" collapsed="false">
      <c r="A10" s="28" t="s">
        <v>4049</v>
      </c>
      <c r="B10" s="28" t="s">
        <v>5824</v>
      </c>
      <c r="C10" s="19" t="s">
        <v>5839</v>
      </c>
      <c r="D10" s="6" t="s">
        <v>5840</v>
      </c>
      <c r="E10" s="28" t="s">
        <v>5826</v>
      </c>
      <c r="F10" s="6" t="s">
        <v>620</v>
      </c>
      <c r="G10" s="224" t="s">
        <v>5827</v>
      </c>
      <c r="H10" s="6" t="s">
        <v>620</v>
      </c>
      <c r="I10" s="224" t="s">
        <v>5829</v>
      </c>
      <c r="J10" s="224" t="s">
        <v>651</v>
      </c>
    </row>
    <row r="11" customFormat="false" ht="15" hidden="false" customHeight="true" outlineLevel="0" collapsed="false">
      <c r="A11" s="28" t="s">
        <v>4375</v>
      </c>
      <c r="B11" s="28" t="s">
        <v>5824</v>
      </c>
      <c r="C11" s="19" t="s">
        <v>5841</v>
      </c>
      <c r="D11" s="6" t="s">
        <v>5842</v>
      </c>
      <c r="E11" s="28" t="s">
        <v>5826</v>
      </c>
      <c r="F11" s="6" t="s">
        <v>620</v>
      </c>
      <c r="G11" s="224" t="s">
        <v>5827</v>
      </c>
      <c r="H11" s="6" t="s">
        <v>620</v>
      </c>
      <c r="I11" s="224" t="s">
        <v>5829</v>
      </c>
      <c r="J11" s="224" t="s">
        <v>651</v>
      </c>
    </row>
    <row r="12" customFormat="false" ht="26.25" hidden="false" customHeight="true" outlineLevel="0" collapsed="false">
      <c r="A12" s="28" t="s">
        <v>4061</v>
      </c>
      <c r="B12" s="28" t="s">
        <v>5824</v>
      </c>
      <c r="C12" s="19" t="s">
        <v>5843</v>
      </c>
      <c r="D12" s="6" t="s">
        <v>5844</v>
      </c>
      <c r="E12" s="28" t="s">
        <v>5826</v>
      </c>
      <c r="F12" s="6" t="s">
        <v>620</v>
      </c>
      <c r="G12" s="224" t="s">
        <v>5827</v>
      </c>
      <c r="H12" s="6" t="s">
        <v>620</v>
      </c>
      <c r="I12" s="224" t="s">
        <v>5829</v>
      </c>
      <c r="J12" s="224" t="s">
        <v>651</v>
      </c>
    </row>
    <row r="13" customFormat="false" ht="15" hidden="false" customHeight="true" outlineLevel="0" collapsed="false">
      <c r="A13" s="28" t="s">
        <v>3895</v>
      </c>
      <c r="B13" s="28" t="s">
        <v>5824</v>
      </c>
      <c r="C13" s="19" t="s">
        <v>5845</v>
      </c>
      <c r="D13" s="19" t="s">
        <v>5846</v>
      </c>
      <c r="E13" s="28" t="s">
        <v>5826</v>
      </c>
      <c r="F13" s="6" t="s">
        <v>620</v>
      </c>
      <c r="G13" s="224" t="s">
        <v>5827</v>
      </c>
      <c r="H13" s="6" t="s">
        <v>620</v>
      </c>
      <c r="I13" s="224" t="s">
        <v>5829</v>
      </c>
      <c r="J13" s="224" t="s">
        <v>651</v>
      </c>
    </row>
    <row r="14" customFormat="false" ht="15" hidden="false" customHeight="true" outlineLevel="0" collapsed="false">
      <c r="A14" s="28" t="s">
        <v>3900</v>
      </c>
      <c r="B14" s="28" t="s">
        <v>5824</v>
      </c>
      <c r="C14" s="6" t="s">
        <v>904</v>
      </c>
      <c r="D14" s="19" t="s">
        <v>5847</v>
      </c>
      <c r="E14" s="28" t="s">
        <v>5826</v>
      </c>
      <c r="F14" s="6" t="s">
        <v>620</v>
      </c>
      <c r="G14" s="224" t="s">
        <v>5827</v>
      </c>
      <c r="H14" s="6" t="s">
        <v>5848</v>
      </c>
      <c r="I14" s="224" t="s">
        <v>5829</v>
      </c>
      <c r="J14" s="224" t="s">
        <v>651</v>
      </c>
    </row>
    <row r="15" customFormat="false" ht="29.25" hidden="false" customHeight="true" outlineLevel="0" collapsed="false">
      <c r="A15" s="28" t="s">
        <v>3907</v>
      </c>
      <c r="B15" s="28" t="s">
        <v>5824</v>
      </c>
      <c r="C15" s="19" t="s">
        <v>5849</v>
      </c>
      <c r="D15" s="6" t="s">
        <v>5850</v>
      </c>
      <c r="E15" s="28" t="s">
        <v>5826</v>
      </c>
      <c r="F15" s="6" t="s">
        <v>620</v>
      </c>
      <c r="G15" s="224" t="s">
        <v>5827</v>
      </c>
      <c r="H15" s="6" t="s">
        <v>620</v>
      </c>
      <c r="I15" s="224" t="s">
        <v>5829</v>
      </c>
      <c r="J15" s="224" t="s">
        <v>651</v>
      </c>
    </row>
    <row r="16" customFormat="false" ht="15" hidden="false" customHeight="true" outlineLevel="0" collapsed="false">
      <c r="A16" s="28" t="s">
        <v>4461</v>
      </c>
      <c r="B16" s="28" t="s">
        <v>5851</v>
      </c>
      <c r="C16" s="6" t="s">
        <v>5852</v>
      </c>
      <c r="D16" s="19" t="s">
        <v>5853</v>
      </c>
      <c r="E16" s="28" t="s">
        <v>5826</v>
      </c>
      <c r="F16" s="6" t="s">
        <v>620</v>
      </c>
      <c r="G16" s="224" t="s">
        <v>5827</v>
      </c>
      <c r="H16" s="6" t="s">
        <v>5854</v>
      </c>
      <c r="I16" s="224" t="s">
        <v>5829</v>
      </c>
      <c r="J16" s="224" t="s">
        <v>651</v>
      </c>
    </row>
    <row r="17" customFormat="false" ht="15" hidden="false" customHeight="true" outlineLevel="0" collapsed="false">
      <c r="A17" s="28" t="s">
        <v>4509</v>
      </c>
      <c r="B17" s="28" t="s">
        <v>5851</v>
      </c>
      <c r="C17" s="6" t="s">
        <v>5855</v>
      </c>
      <c r="D17" s="19" t="s">
        <v>5856</v>
      </c>
      <c r="E17" s="28" t="s">
        <v>5826</v>
      </c>
      <c r="F17" s="6" t="s">
        <v>620</v>
      </c>
      <c r="G17" s="224" t="s">
        <v>5827</v>
      </c>
      <c r="H17" s="6" t="s">
        <v>5857</v>
      </c>
      <c r="I17" s="224" t="s">
        <v>5829</v>
      </c>
      <c r="J17" s="224" t="s">
        <v>651</v>
      </c>
    </row>
    <row r="18" customFormat="false" ht="29.25" hidden="false" customHeight="true" outlineLevel="0" collapsed="false">
      <c r="A18" s="28" t="s">
        <v>4513</v>
      </c>
      <c r="B18" s="28" t="s">
        <v>5851</v>
      </c>
      <c r="C18" s="6" t="s">
        <v>5858</v>
      </c>
      <c r="D18" s="19" t="s">
        <v>5859</v>
      </c>
      <c r="E18" s="28" t="s">
        <v>5826</v>
      </c>
      <c r="F18" s="6" t="s">
        <v>620</v>
      </c>
      <c r="G18" s="224" t="s">
        <v>5827</v>
      </c>
      <c r="H18" s="6" t="s">
        <v>5860</v>
      </c>
      <c r="I18" s="224" t="s">
        <v>5829</v>
      </c>
      <c r="J18" s="224" t="s">
        <v>651</v>
      </c>
    </row>
    <row r="19" customFormat="false" ht="15" hidden="false" customHeight="true" outlineLevel="0" collapsed="false">
      <c r="A19" s="28" t="s">
        <v>5861</v>
      </c>
      <c r="B19" s="28" t="s">
        <v>5851</v>
      </c>
      <c r="C19" s="6" t="s">
        <v>5862</v>
      </c>
      <c r="D19" s="19" t="s">
        <v>5863</v>
      </c>
      <c r="E19" s="28" t="s">
        <v>5826</v>
      </c>
      <c r="F19" s="6" t="s">
        <v>620</v>
      </c>
      <c r="G19" s="224" t="s">
        <v>5827</v>
      </c>
      <c r="H19" s="6" t="s">
        <v>620</v>
      </c>
      <c r="I19" s="224" t="s">
        <v>5829</v>
      </c>
      <c r="J19" s="224" t="s">
        <v>651</v>
      </c>
    </row>
    <row r="20" customFormat="false" ht="15" hidden="false" customHeight="true" outlineLevel="0" collapsed="false">
      <c r="A20" s="28" t="s">
        <v>5864</v>
      </c>
      <c r="B20" s="28" t="s">
        <v>5851</v>
      </c>
      <c r="C20" s="19" t="s">
        <v>5865</v>
      </c>
      <c r="D20" s="19" t="s">
        <v>5866</v>
      </c>
      <c r="E20" s="28" t="s">
        <v>5826</v>
      </c>
      <c r="F20" s="6" t="s">
        <v>620</v>
      </c>
      <c r="G20" s="224" t="s">
        <v>5827</v>
      </c>
      <c r="H20" s="6" t="s">
        <v>620</v>
      </c>
      <c r="I20" s="224" t="s">
        <v>5829</v>
      </c>
      <c r="J20" s="224" t="s">
        <v>651</v>
      </c>
    </row>
    <row r="21" customFormat="false" ht="15" hidden="false" customHeight="true" outlineLevel="0" collapsed="false">
      <c r="A21" s="28" t="s">
        <v>5867</v>
      </c>
      <c r="B21" s="28" t="s">
        <v>5851</v>
      </c>
      <c r="C21" s="19" t="s">
        <v>5868</v>
      </c>
      <c r="D21" s="6" t="s">
        <v>5869</v>
      </c>
      <c r="E21" s="28" t="s">
        <v>5826</v>
      </c>
      <c r="F21" s="6" t="s">
        <v>620</v>
      </c>
      <c r="G21" s="224" t="s">
        <v>5870</v>
      </c>
      <c r="H21" s="6" t="s">
        <v>5871</v>
      </c>
      <c r="I21" s="224" t="s">
        <v>5829</v>
      </c>
      <c r="J21" s="224" t="s">
        <v>651</v>
      </c>
    </row>
    <row r="22" customFormat="false" ht="29.25" hidden="false" customHeight="true" outlineLevel="0" collapsed="false">
      <c r="A22" s="28" t="s">
        <v>5872</v>
      </c>
      <c r="B22" s="28" t="s">
        <v>5851</v>
      </c>
      <c r="C22" s="19" t="s">
        <v>5873</v>
      </c>
      <c r="D22" s="6" t="s">
        <v>5874</v>
      </c>
      <c r="E22" s="28" t="s">
        <v>5826</v>
      </c>
      <c r="F22" s="19" t="s">
        <v>5875</v>
      </c>
      <c r="G22" s="224" t="s">
        <v>5870</v>
      </c>
      <c r="H22" s="6" t="s">
        <v>5876</v>
      </c>
      <c r="I22" s="224" t="s">
        <v>5829</v>
      </c>
      <c r="J22" s="224" t="s">
        <v>651</v>
      </c>
    </row>
    <row r="23" customFormat="false" ht="29.25" hidden="false" customHeight="true" outlineLevel="0" collapsed="false">
      <c r="A23" s="28" t="s">
        <v>5877</v>
      </c>
      <c r="B23" s="224" t="s">
        <v>5878</v>
      </c>
      <c r="C23" s="19" t="s">
        <v>48</v>
      </c>
      <c r="D23" s="6" t="s">
        <v>5879</v>
      </c>
      <c r="E23" s="28" t="s">
        <v>5880</v>
      </c>
      <c r="F23" s="6" t="s">
        <v>620</v>
      </c>
      <c r="G23" s="224" t="s">
        <v>5827</v>
      </c>
      <c r="H23" s="6" t="s">
        <v>620</v>
      </c>
      <c r="I23" s="224" t="s">
        <v>5829</v>
      </c>
      <c r="J23" s="224" t="s">
        <v>651</v>
      </c>
    </row>
    <row r="24" customFormat="false" ht="15" hidden="false" customHeight="true" outlineLevel="0" collapsed="false">
      <c r="A24" s="28" t="s">
        <v>5881</v>
      </c>
      <c r="B24" s="28" t="s">
        <v>5851</v>
      </c>
      <c r="C24" s="19" t="s">
        <v>5882</v>
      </c>
      <c r="D24" s="6" t="s">
        <v>5883</v>
      </c>
      <c r="E24" s="28" t="s">
        <v>5826</v>
      </c>
      <c r="F24" s="6" t="s">
        <v>620</v>
      </c>
      <c r="G24" s="224" t="s">
        <v>5827</v>
      </c>
      <c r="H24" s="6" t="s">
        <v>620</v>
      </c>
      <c r="I24" s="224" t="s">
        <v>5829</v>
      </c>
      <c r="J24" s="224" t="s">
        <v>651</v>
      </c>
    </row>
    <row r="25" customFormat="false" ht="29.25" hidden="false" customHeight="true" outlineLevel="0" collapsed="false">
      <c r="A25" s="28" t="s">
        <v>5305</v>
      </c>
      <c r="B25" s="28" t="s">
        <v>5851</v>
      </c>
      <c r="C25" s="6" t="s">
        <v>5884</v>
      </c>
      <c r="D25" s="19" t="s">
        <v>5885</v>
      </c>
      <c r="E25" s="28" t="s">
        <v>5826</v>
      </c>
      <c r="F25" s="6" t="s">
        <v>620</v>
      </c>
      <c r="G25" s="224" t="s">
        <v>5827</v>
      </c>
      <c r="H25" s="6" t="s">
        <v>620</v>
      </c>
      <c r="I25" s="224" t="s">
        <v>5829</v>
      </c>
      <c r="J25" s="224" t="s">
        <v>651</v>
      </c>
    </row>
    <row r="26" customFormat="false" ht="43.5" hidden="false" customHeight="true" outlineLevel="0" collapsed="false">
      <c r="A26" s="28" t="s">
        <v>5335</v>
      </c>
      <c r="B26" s="28" t="s">
        <v>5851</v>
      </c>
      <c r="C26" s="6" t="s">
        <v>5886</v>
      </c>
      <c r="D26" s="19" t="s">
        <v>5887</v>
      </c>
      <c r="E26" s="28" t="s">
        <v>1236</v>
      </c>
      <c r="F26" s="6" t="s">
        <v>620</v>
      </c>
      <c r="G26" s="224" t="s">
        <v>5827</v>
      </c>
      <c r="H26" s="6" t="s">
        <v>620</v>
      </c>
      <c r="I26" s="224" t="s">
        <v>5829</v>
      </c>
      <c r="J26" s="224" t="s">
        <v>651</v>
      </c>
    </row>
    <row r="27" customFormat="false" ht="15" hidden="false" customHeight="true" outlineLevel="0" collapsed="false">
      <c r="A27" s="28" t="s">
        <v>5288</v>
      </c>
      <c r="B27" s="28" t="s">
        <v>5851</v>
      </c>
      <c r="C27" s="19" t="s">
        <v>1099</v>
      </c>
      <c r="D27" s="19" t="s">
        <v>5888</v>
      </c>
      <c r="E27" s="28" t="s">
        <v>5826</v>
      </c>
      <c r="F27" s="6" t="s">
        <v>620</v>
      </c>
      <c r="G27" s="224" t="s">
        <v>5827</v>
      </c>
      <c r="H27" s="6" t="s">
        <v>620</v>
      </c>
      <c r="I27" s="224" t="s">
        <v>5829</v>
      </c>
      <c r="J27" s="224" t="s">
        <v>651</v>
      </c>
    </row>
    <row r="28" customFormat="false" ht="15" hidden="false" customHeight="true" outlineLevel="0" collapsed="false">
      <c r="A28" s="28" t="s">
        <v>5889</v>
      </c>
      <c r="B28" s="28" t="s">
        <v>5851</v>
      </c>
      <c r="C28" s="19" t="s">
        <v>5890</v>
      </c>
      <c r="D28" s="6" t="s">
        <v>5891</v>
      </c>
      <c r="E28" s="28" t="s">
        <v>5826</v>
      </c>
      <c r="F28" s="6" t="s">
        <v>620</v>
      </c>
      <c r="G28" s="224" t="s">
        <v>5827</v>
      </c>
      <c r="H28" s="6" t="s">
        <v>620</v>
      </c>
      <c r="I28" s="224" t="s">
        <v>5829</v>
      </c>
      <c r="J28" s="224" t="s">
        <v>651</v>
      </c>
    </row>
    <row r="29" customFormat="false" ht="15" hidden="false" customHeight="true" outlineLevel="0" collapsed="false">
      <c r="A29" s="28" t="s">
        <v>5396</v>
      </c>
      <c r="B29" s="28" t="s">
        <v>5851</v>
      </c>
      <c r="C29" s="6" t="s">
        <v>5892</v>
      </c>
      <c r="D29" s="6" t="s">
        <v>5893</v>
      </c>
      <c r="E29" s="28" t="s">
        <v>5826</v>
      </c>
      <c r="F29" s="6" t="s">
        <v>620</v>
      </c>
      <c r="G29" s="224" t="s">
        <v>5827</v>
      </c>
      <c r="H29" s="6" t="s">
        <v>620</v>
      </c>
      <c r="I29" s="224" t="s">
        <v>5829</v>
      </c>
      <c r="J29" s="224" t="s">
        <v>651</v>
      </c>
    </row>
    <row r="30" customFormat="false" ht="15" hidden="false" customHeight="true" outlineLevel="0" collapsed="false">
      <c r="A30" s="28" t="s">
        <v>5295</v>
      </c>
      <c r="B30" s="28" t="s">
        <v>5851</v>
      </c>
      <c r="C30" s="19" t="s">
        <v>5894</v>
      </c>
      <c r="D30" s="6" t="s">
        <v>5895</v>
      </c>
      <c r="E30" s="28" t="s">
        <v>5880</v>
      </c>
      <c r="F30" s="6" t="s">
        <v>620</v>
      </c>
      <c r="G30" s="224" t="s">
        <v>5827</v>
      </c>
      <c r="H30" s="6" t="s">
        <v>5896</v>
      </c>
      <c r="I30" s="224" t="s">
        <v>5829</v>
      </c>
      <c r="J30" s="224" t="s">
        <v>651</v>
      </c>
    </row>
    <row r="31" customFormat="false" ht="15" hidden="false" customHeight="true" outlineLevel="0" collapsed="false">
      <c r="A31" s="28" t="s">
        <v>4924</v>
      </c>
      <c r="B31" s="28" t="s">
        <v>5851</v>
      </c>
      <c r="C31" s="19" t="s">
        <v>5897</v>
      </c>
      <c r="D31" s="19" t="s">
        <v>5898</v>
      </c>
      <c r="E31" s="28" t="s">
        <v>5826</v>
      </c>
      <c r="F31" s="6" t="s">
        <v>620</v>
      </c>
      <c r="G31" s="224" t="s">
        <v>5827</v>
      </c>
      <c r="H31" s="6" t="s">
        <v>620</v>
      </c>
      <c r="I31" s="224" t="s">
        <v>5829</v>
      </c>
      <c r="J31" s="224" t="s">
        <v>651</v>
      </c>
    </row>
    <row r="32" customFormat="false" ht="43.5" hidden="false" customHeight="true" outlineLevel="0" collapsed="false">
      <c r="A32" s="28" t="s">
        <v>5899</v>
      </c>
      <c r="B32" s="224" t="s">
        <v>5878</v>
      </c>
      <c r="C32" s="19" t="s">
        <v>5900</v>
      </c>
      <c r="D32" s="6" t="s">
        <v>5901</v>
      </c>
      <c r="E32" s="28" t="s">
        <v>5902</v>
      </c>
      <c r="F32" s="6" t="s">
        <v>620</v>
      </c>
      <c r="G32" s="224" t="s">
        <v>5827</v>
      </c>
      <c r="H32" s="6" t="s">
        <v>620</v>
      </c>
      <c r="I32" s="224" t="s">
        <v>5829</v>
      </c>
      <c r="J32" s="224" t="s">
        <v>651</v>
      </c>
    </row>
    <row r="33" customFormat="false" ht="43.5" hidden="false" customHeight="true" outlineLevel="0" collapsed="false">
      <c r="A33" s="28" t="s">
        <v>5903</v>
      </c>
      <c r="B33" s="224" t="s">
        <v>5878</v>
      </c>
      <c r="C33" s="6" t="s">
        <v>5904</v>
      </c>
      <c r="D33" s="19" t="s">
        <v>5905</v>
      </c>
      <c r="E33" s="28" t="s">
        <v>5826</v>
      </c>
      <c r="F33" s="6" t="s">
        <v>620</v>
      </c>
      <c r="G33" s="224" t="s">
        <v>5827</v>
      </c>
      <c r="H33" s="6" t="s">
        <v>620</v>
      </c>
      <c r="I33" s="224" t="s">
        <v>5829</v>
      </c>
      <c r="J33" s="224" t="s">
        <v>651</v>
      </c>
    </row>
    <row r="34" customFormat="false" ht="43.5" hidden="false" customHeight="true" outlineLevel="0" collapsed="false">
      <c r="A34" s="28" t="s">
        <v>5906</v>
      </c>
      <c r="B34" s="224" t="s">
        <v>5878</v>
      </c>
      <c r="C34" s="6" t="s">
        <v>5907</v>
      </c>
      <c r="D34" s="19" t="s">
        <v>5908</v>
      </c>
      <c r="E34" s="28" t="s">
        <v>1236</v>
      </c>
      <c r="F34" s="6" t="s">
        <v>620</v>
      </c>
      <c r="G34" s="224" t="s">
        <v>5827</v>
      </c>
      <c r="H34" s="6" t="s">
        <v>620</v>
      </c>
      <c r="I34" s="224" t="s">
        <v>5829</v>
      </c>
      <c r="J34" s="224" t="s">
        <v>651</v>
      </c>
    </row>
    <row r="35" customFormat="false" ht="43.5" hidden="false" customHeight="true" outlineLevel="0" collapsed="false">
      <c r="A35" s="28" t="s">
        <v>5909</v>
      </c>
      <c r="B35" s="224" t="s">
        <v>5878</v>
      </c>
      <c r="C35" s="19" t="s">
        <v>5910</v>
      </c>
      <c r="D35" s="6" t="s">
        <v>5911</v>
      </c>
      <c r="E35" s="28" t="s">
        <v>1236</v>
      </c>
      <c r="F35" s="6" t="s">
        <v>620</v>
      </c>
      <c r="G35" s="224" t="s">
        <v>5827</v>
      </c>
      <c r="H35" s="6" t="s">
        <v>620</v>
      </c>
      <c r="I35" s="224" t="s">
        <v>5829</v>
      </c>
      <c r="J35" s="224" t="s">
        <v>651</v>
      </c>
    </row>
    <row r="36" customFormat="false" ht="15" hidden="false" customHeight="true" outlineLevel="0" collapsed="false">
      <c r="A36" s="28" t="s">
        <v>5912</v>
      </c>
      <c r="B36" s="224" t="s">
        <v>5878</v>
      </c>
      <c r="C36" s="19" t="s">
        <v>5913</v>
      </c>
      <c r="D36" s="19" t="s">
        <v>5914</v>
      </c>
      <c r="E36" s="28" t="s">
        <v>5826</v>
      </c>
      <c r="F36" s="6" t="s">
        <v>620</v>
      </c>
      <c r="G36" s="224" t="s">
        <v>5827</v>
      </c>
      <c r="H36" s="6" t="s">
        <v>620</v>
      </c>
      <c r="I36" s="224" t="s">
        <v>5829</v>
      </c>
      <c r="J36" s="224" t="s">
        <v>651</v>
      </c>
    </row>
    <row r="37" customFormat="false" ht="15" hidden="false" customHeight="true" outlineLevel="0" collapsed="false">
      <c r="A37" s="28" t="s">
        <v>3808</v>
      </c>
      <c r="B37" s="28" t="s">
        <v>715</v>
      </c>
      <c r="C37" s="19" t="s">
        <v>5915</v>
      </c>
      <c r="D37" s="6" t="s">
        <v>5916</v>
      </c>
      <c r="E37" s="28" t="s">
        <v>1236</v>
      </c>
      <c r="F37" s="19" t="s">
        <v>5917</v>
      </c>
      <c r="G37" s="224" t="s">
        <v>5827</v>
      </c>
      <c r="H37" s="6" t="s">
        <v>620</v>
      </c>
      <c r="I37" s="224" t="s">
        <v>5829</v>
      </c>
      <c r="J37" s="224" t="s">
        <v>651</v>
      </c>
    </row>
    <row r="38" customFormat="false" ht="29.25" hidden="false" customHeight="true" outlineLevel="0" collapsed="false">
      <c r="A38" s="28" t="s">
        <v>3811</v>
      </c>
      <c r="B38" s="28" t="s">
        <v>715</v>
      </c>
      <c r="C38" s="19" t="s">
        <v>5918</v>
      </c>
      <c r="D38" s="6" t="s">
        <v>5919</v>
      </c>
      <c r="E38" s="28" t="s">
        <v>5826</v>
      </c>
      <c r="F38" s="19" t="s">
        <v>5920</v>
      </c>
      <c r="G38" s="224" t="s">
        <v>5827</v>
      </c>
      <c r="H38" s="6" t="s">
        <v>620</v>
      </c>
      <c r="I38" s="224" t="s">
        <v>5829</v>
      </c>
      <c r="J38" s="224" t="s">
        <v>651</v>
      </c>
    </row>
    <row r="39" customFormat="false" ht="29.25" hidden="false" customHeight="true" outlineLevel="0" collapsed="false">
      <c r="A39" s="28" t="s">
        <v>3814</v>
      </c>
      <c r="B39" s="28" t="s">
        <v>715</v>
      </c>
      <c r="C39" s="19" t="s">
        <v>5921</v>
      </c>
      <c r="D39" s="6" t="s">
        <v>5922</v>
      </c>
      <c r="E39" s="28" t="s">
        <v>5826</v>
      </c>
      <c r="F39" s="6" t="s">
        <v>620</v>
      </c>
      <c r="G39" s="224" t="s">
        <v>5827</v>
      </c>
      <c r="H39" s="6" t="s">
        <v>620</v>
      </c>
      <c r="I39" s="224" t="s">
        <v>5829</v>
      </c>
      <c r="J39" s="224" t="s">
        <v>651</v>
      </c>
    </row>
    <row r="40" customFormat="false" ht="43.5" hidden="false" customHeight="true" outlineLevel="0" collapsed="false">
      <c r="A40" s="28" t="s">
        <v>3817</v>
      </c>
      <c r="B40" s="28" t="s">
        <v>715</v>
      </c>
      <c r="C40" s="19" t="s">
        <v>5923</v>
      </c>
      <c r="D40" s="6" t="s">
        <v>5924</v>
      </c>
      <c r="E40" s="28" t="s">
        <v>5826</v>
      </c>
      <c r="F40" s="19" t="s">
        <v>5925</v>
      </c>
      <c r="G40" s="224" t="s">
        <v>5827</v>
      </c>
      <c r="H40" s="6" t="s">
        <v>620</v>
      </c>
      <c r="I40" s="224" t="s">
        <v>5829</v>
      </c>
      <c r="J40" s="224" t="s">
        <v>651</v>
      </c>
    </row>
    <row r="41" customFormat="false" ht="15" hidden="false" customHeight="true" outlineLevel="0" collapsed="false">
      <c r="A41" s="28" t="s">
        <v>3820</v>
      </c>
      <c r="B41" s="28" t="s">
        <v>715</v>
      </c>
      <c r="C41" s="19" t="s">
        <v>5926</v>
      </c>
      <c r="D41" s="6" t="s">
        <v>5927</v>
      </c>
      <c r="E41" s="28" t="s">
        <v>5826</v>
      </c>
      <c r="F41" s="6" t="s">
        <v>620</v>
      </c>
      <c r="G41" s="224" t="s">
        <v>5827</v>
      </c>
      <c r="H41" s="6" t="s">
        <v>620</v>
      </c>
      <c r="I41" s="224" t="s">
        <v>5829</v>
      </c>
      <c r="J41" s="224" t="s">
        <v>651</v>
      </c>
    </row>
    <row r="42" customFormat="false" ht="43.5" hidden="false" customHeight="true" outlineLevel="0" collapsed="false">
      <c r="A42" s="28" t="s">
        <v>3823</v>
      </c>
      <c r="B42" s="28" t="s">
        <v>715</v>
      </c>
      <c r="C42" s="19" t="s">
        <v>5928</v>
      </c>
      <c r="D42" s="19" t="s">
        <v>5929</v>
      </c>
      <c r="E42" s="28" t="s">
        <v>1236</v>
      </c>
      <c r="F42" s="6" t="s">
        <v>620</v>
      </c>
      <c r="G42" s="224" t="s">
        <v>5827</v>
      </c>
      <c r="H42" s="6" t="s">
        <v>5930</v>
      </c>
      <c r="I42" s="224" t="s">
        <v>5829</v>
      </c>
      <c r="J42" s="224" t="s">
        <v>651</v>
      </c>
    </row>
    <row r="43" customFormat="false" ht="29.25" hidden="false" customHeight="true" outlineLevel="0" collapsed="false">
      <c r="A43" s="28" t="s">
        <v>3826</v>
      </c>
      <c r="B43" s="28" t="s">
        <v>715</v>
      </c>
      <c r="C43" s="6" t="s">
        <v>5931</v>
      </c>
      <c r="D43" s="19" t="s">
        <v>5932</v>
      </c>
      <c r="E43" s="28" t="s">
        <v>5826</v>
      </c>
      <c r="F43" s="6" t="s">
        <v>620</v>
      </c>
      <c r="G43" s="224" t="s">
        <v>5827</v>
      </c>
      <c r="H43" s="6" t="s">
        <v>620</v>
      </c>
      <c r="I43" s="224" t="s">
        <v>5829</v>
      </c>
      <c r="J43" s="224" t="s">
        <v>651</v>
      </c>
    </row>
    <row r="44" customFormat="false" ht="15" hidden="false" customHeight="true" outlineLevel="0" collapsed="false">
      <c r="A44" s="28" t="s">
        <v>5933</v>
      </c>
      <c r="B44" s="28" t="s">
        <v>715</v>
      </c>
      <c r="C44" s="19" t="s">
        <v>5934</v>
      </c>
      <c r="D44" s="19" t="s">
        <v>5935</v>
      </c>
      <c r="E44" s="28" t="s">
        <v>5826</v>
      </c>
      <c r="F44" s="6" t="s">
        <v>620</v>
      </c>
      <c r="G44" s="224" t="s">
        <v>5827</v>
      </c>
      <c r="H44" s="6" t="s">
        <v>620</v>
      </c>
      <c r="I44" s="224" t="s">
        <v>5829</v>
      </c>
      <c r="J44" s="224" t="s">
        <v>651</v>
      </c>
    </row>
    <row r="45" customFormat="false" ht="29.25" hidden="false" customHeight="true" outlineLevel="0" collapsed="false">
      <c r="A45" s="28" t="s">
        <v>5936</v>
      </c>
      <c r="B45" s="28" t="s">
        <v>715</v>
      </c>
      <c r="C45" s="19" t="s">
        <v>5937</v>
      </c>
      <c r="D45" s="19" t="s">
        <v>5938</v>
      </c>
      <c r="E45" s="28" t="s">
        <v>5826</v>
      </c>
      <c r="F45" s="6" t="s">
        <v>620</v>
      </c>
      <c r="G45" s="224" t="s">
        <v>5827</v>
      </c>
      <c r="H45" s="6" t="s">
        <v>620</v>
      </c>
      <c r="I45" s="224" t="s">
        <v>5829</v>
      </c>
      <c r="J45" s="224" t="s">
        <v>651</v>
      </c>
    </row>
    <row r="46" customFormat="false" ht="26.25" hidden="false" customHeight="true" outlineLevel="0" collapsed="false">
      <c r="A46" s="28" t="s">
        <v>5020</v>
      </c>
      <c r="B46" s="28" t="s">
        <v>715</v>
      </c>
      <c r="C46" s="19" t="s">
        <v>5939</v>
      </c>
      <c r="D46" s="19" t="s">
        <v>5940</v>
      </c>
      <c r="E46" s="28" t="s">
        <v>5826</v>
      </c>
      <c r="F46" s="6" t="s">
        <v>620</v>
      </c>
      <c r="G46" s="224" t="s">
        <v>5827</v>
      </c>
      <c r="H46" s="6" t="s">
        <v>620</v>
      </c>
      <c r="I46" s="224" t="s">
        <v>5829</v>
      </c>
      <c r="J46" s="224" t="s">
        <v>651</v>
      </c>
    </row>
    <row r="47" customFormat="false" ht="29.25" hidden="false" customHeight="true" outlineLevel="0" collapsed="false">
      <c r="A47" s="28" t="s">
        <v>4503</v>
      </c>
      <c r="B47" s="28" t="s">
        <v>715</v>
      </c>
      <c r="C47" s="19" t="s">
        <v>5941</v>
      </c>
      <c r="D47" s="19" t="s">
        <v>5942</v>
      </c>
      <c r="E47" s="28" t="s">
        <v>5943</v>
      </c>
      <c r="F47" s="19" t="s">
        <v>5944</v>
      </c>
      <c r="G47" s="224" t="s">
        <v>5870</v>
      </c>
      <c r="H47" s="6" t="s">
        <v>5945</v>
      </c>
      <c r="I47" s="224" t="s">
        <v>5829</v>
      </c>
      <c r="J47" s="224" t="s">
        <v>651</v>
      </c>
    </row>
    <row r="48" customFormat="false" ht="15" hidden="false" customHeight="true" outlineLevel="0" collapsed="false">
      <c r="A48" s="28" t="s">
        <v>4981</v>
      </c>
      <c r="B48" s="28" t="s">
        <v>715</v>
      </c>
      <c r="C48" s="19" t="s">
        <v>5946</v>
      </c>
      <c r="D48" s="19" t="s">
        <v>5947</v>
      </c>
      <c r="E48" s="28" t="s">
        <v>5826</v>
      </c>
      <c r="F48" s="6" t="s">
        <v>620</v>
      </c>
      <c r="G48" s="224" t="s">
        <v>5827</v>
      </c>
      <c r="H48" s="6" t="s">
        <v>620</v>
      </c>
      <c r="I48" s="224" t="s">
        <v>5829</v>
      </c>
      <c r="J48" s="224" t="s">
        <v>651</v>
      </c>
    </row>
    <row r="49" customFormat="false" ht="15" hidden="false" customHeight="true" outlineLevel="0" collapsed="false">
      <c r="A49" s="28" t="s">
        <v>5069</v>
      </c>
      <c r="B49" s="28" t="s">
        <v>715</v>
      </c>
      <c r="C49" s="19" t="s">
        <v>5948</v>
      </c>
      <c r="D49" s="19" t="s">
        <v>5949</v>
      </c>
      <c r="E49" s="28" t="s">
        <v>5826</v>
      </c>
      <c r="F49" s="19" t="s">
        <v>5950</v>
      </c>
      <c r="G49" s="224" t="s">
        <v>5827</v>
      </c>
      <c r="H49" s="6" t="s">
        <v>620</v>
      </c>
      <c r="I49" s="224" t="s">
        <v>5829</v>
      </c>
      <c r="J49" s="224" t="s">
        <v>651</v>
      </c>
    </row>
    <row r="50" customFormat="false" ht="15" hidden="false" customHeight="true" outlineLevel="0" collapsed="false">
      <c r="A50" s="28" t="s">
        <v>5951</v>
      </c>
      <c r="B50" s="28" t="s">
        <v>715</v>
      </c>
      <c r="C50" s="19" t="s">
        <v>5952</v>
      </c>
      <c r="D50" s="19" t="s">
        <v>5953</v>
      </c>
      <c r="E50" s="28" t="s">
        <v>5826</v>
      </c>
      <c r="F50" s="6" t="s">
        <v>620</v>
      </c>
      <c r="G50" s="224" t="s">
        <v>5827</v>
      </c>
      <c r="H50" s="6" t="s">
        <v>620</v>
      </c>
      <c r="I50" s="224" t="s">
        <v>5829</v>
      </c>
      <c r="J50" s="224" t="s">
        <v>651</v>
      </c>
    </row>
    <row r="51" customFormat="false" ht="43.5" hidden="false" customHeight="true" outlineLevel="0" collapsed="false">
      <c r="A51" s="28" t="s">
        <v>4604</v>
      </c>
      <c r="B51" s="28" t="s">
        <v>5954</v>
      </c>
      <c r="C51" s="6" t="s">
        <v>5955</v>
      </c>
      <c r="D51" s="19" t="s">
        <v>5956</v>
      </c>
      <c r="E51" s="28" t="s">
        <v>1236</v>
      </c>
      <c r="F51" s="19" t="s">
        <v>5957</v>
      </c>
      <c r="G51" s="224" t="s">
        <v>5827</v>
      </c>
      <c r="H51" s="6" t="s">
        <v>5958</v>
      </c>
      <c r="I51" s="224" t="s">
        <v>5829</v>
      </c>
      <c r="J51" s="224" t="s">
        <v>651</v>
      </c>
    </row>
    <row r="52" customFormat="false" ht="29.25" hidden="false" customHeight="true" outlineLevel="0" collapsed="false">
      <c r="A52" s="28" t="s">
        <v>5959</v>
      </c>
      <c r="B52" s="28" t="s">
        <v>5954</v>
      </c>
      <c r="C52" s="19" t="s">
        <v>5960</v>
      </c>
      <c r="D52" s="6" t="s">
        <v>5961</v>
      </c>
      <c r="E52" s="28" t="s">
        <v>5826</v>
      </c>
      <c r="F52" s="19" t="s">
        <v>5962</v>
      </c>
      <c r="G52" s="224" t="s">
        <v>5827</v>
      </c>
      <c r="H52" s="6" t="s">
        <v>620</v>
      </c>
      <c r="I52" s="224" t="s">
        <v>5829</v>
      </c>
      <c r="J52" s="224" t="s">
        <v>651</v>
      </c>
    </row>
    <row r="53" customFormat="false" ht="29.25" hidden="false" customHeight="true" outlineLevel="0" collapsed="false">
      <c r="A53" s="28" t="s">
        <v>4608</v>
      </c>
      <c r="B53" s="28" t="s">
        <v>5954</v>
      </c>
      <c r="C53" s="19" t="s">
        <v>5963</v>
      </c>
      <c r="D53" s="19" t="s">
        <v>5964</v>
      </c>
      <c r="E53" s="28" t="s">
        <v>5826</v>
      </c>
      <c r="F53" s="19" t="s">
        <v>5965</v>
      </c>
      <c r="G53" s="224" t="s">
        <v>5827</v>
      </c>
      <c r="H53" s="6" t="s">
        <v>5966</v>
      </c>
      <c r="I53" s="224" t="s">
        <v>5829</v>
      </c>
      <c r="J53" s="224" t="s">
        <v>651</v>
      </c>
    </row>
    <row r="54" customFormat="false" ht="29.25" hidden="false" customHeight="true" outlineLevel="0" collapsed="false">
      <c r="A54" s="28" t="s">
        <v>5967</v>
      </c>
      <c r="B54" s="28" t="s">
        <v>5954</v>
      </c>
      <c r="C54" s="6" t="s">
        <v>5968</v>
      </c>
      <c r="D54" s="19" t="s">
        <v>5969</v>
      </c>
      <c r="E54" s="28" t="s">
        <v>5826</v>
      </c>
      <c r="F54" s="6" t="s">
        <v>620</v>
      </c>
      <c r="G54" s="224" t="s">
        <v>5827</v>
      </c>
      <c r="H54" s="6" t="s">
        <v>620</v>
      </c>
      <c r="I54" s="224" t="s">
        <v>5829</v>
      </c>
      <c r="J54" s="224" t="s">
        <v>651</v>
      </c>
    </row>
    <row r="55" customFormat="false" ht="15" hidden="false" customHeight="true" outlineLevel="0" collapsed="false">
      <c r="A55" s="28" t="s">
        <v>5970</v>
      </c>
      <c r="B55" s="28" t="s">
        <v>5954</v>
      </c>
      <c r="C55" s="19" t="s">
        <v>5971</v>
      </c>
      <c r="D55" s="19" t="s">
        <v>5972</v>
      </c>
      <c r="E55" s="28" t="s">
        <v>5826</v>
      </c>
      <c r="F55" s="6" t="s">
        <v>620</v>
      </c>
      <c r="G55" s="224" t="s">
        <v>5827</v>
      </c>
      <c r="H55" s="6" t="s">
        <v>620</v>
      </c>
      <c r="I55" s="224" t="s">
        <v>5829</v>
      </c>
      <c r="J55" s="224" t="s">
        <v>651</v>
      </c>
    </row>
    <row r="56" customFormat="false" ht="15" hidden="false" customHeight="true" outlineLevel="0" collapsed="false">
      <c r="A56" s="28" t="s">
        <v>5973</v>
      </c>
      <c r="B56" s="28" t="s">
        <v>5954</v>
      </c>
      <c r="C56" s="19" t="s">
        <v>5974</v>
      </c>
      <c r="D56" s="19" t="s">
        <v>5975</v>
      </c>
      <c r="E56" s="28" t="s">
        <v>5826</v>
      </c>
      <c r="F56" s="6" t="s">
        <v>620</v>
      </c>
      <c r="G56" s="224" t="s">
        <v>5827</v>
      </c>
      <c r="H56" s="6" t="s">
        <v>620</v>
      </c>
      <c r="I56" s="224" t="s">
        <v>5829</v>
      </c>
      <c r="J56" s="224" t="s">
        <v>651</v>
      </c>
    </row>
    <row r="57" customFormat="false" ht="29.25" hidden="false" customHeight="true" outlineLevel="0" collapsed="false">
      <c r="A57" s="28" t="s">
        <v>5976</v>
      </c>
      <c r="B57" s="28" t="s">
        <v>5954</v>
      </c>
      <c r="C57" s="6" t="s">
        <v>5977</v>
      </c>
      <c r="D57" s="19" t="s">
        <v>5978</v>
      </c>
      <c r="E57" s="28" t="s">
        <v>5826</v>
      </c>
      <c r="F57" s="6" t="s">
        <v>620</v>
      </c>
      <c r="G57" s="224" t="s">
        <v>5827</v>
      </c>
      <c r="H57" s="6" t="s">
        <v>620</v>
      </c>
      <c r="I57" s="224" t="s">
        <v>5829</v>
      </c>
      <c r="J57" s="224" t="s">
        <v>651</v>
      </c>
    </row>
    <row r="58" customFormat="false" ht="29.25" hidden="false" customHeight="true" outlineLevel="0" collapsed="false">
      <c r="A58" s="28" t="s">
        <v>5979</v>
      </c>
      <c r="B58" s="28" t="s">
        <v>5954</v>
      </c>
      <c r="C58" s="19" t="s">
        <v>5980</v>
      </c>
      <c r="D58" s="6" t="s">
        <v>5981</v>
      </c>
      <c r="E58" s="28" t="s">
        <v>1236</v>
      </c>
      <c r="F58" s="6" t="s">
        <v>620</v>
      </c>
      <c r="G58" s="224" t="s">
        <v>5827</v>
      </c>
      <c r="H58" s="6" t="s">
        <v>5982</v>
      </c>
      <c r="I58" s="224" t="s">
        <v>5829</v>
      </c>
      <c r="J58" s="224" t="s">
        <v>651</v>
      </c>
    </row>
    <row r="59" customFormat="false" ht="43.5" hidden="false" customHeight="true" outlineLevel="0" collapsed="false">
      <c r="A59" s="28" t="s">
        <v>667</v>
      </c>
      <c r="B59" s="28" t="s">
        <v>24</v>
      </c>
      <c r="C59" s="19" t="s">
        <v>5983</v>
      </c>
      <c r="D59" s="19" t="s">
        <v>5984</v>
      </c>
      <c r="E59" s="28" t="s">
        <v>1236</v>
      </c>
      <c r="F59" s="6" t="s">
        <v>620</v>
      </c>
      <c r="G59" s="224" t="s">
        <v>5827</v>
      </c>
      <c r="H59" s="6" t="s">
        <v>620</v>
      </c>
      <c r="I59" s="224" t="s">
        <v>5829</v>
      </c>
      <c r="J59" s="224" t="s">
        <v>651</v>
      </c>
    </row>
    <row r="60" customFormat="false" ht="43.5" hidden="false" customHeight="true" outlineLevel="0" collapsed="false">
      <c r="A60" s="28" t="s">
        <v>5985</v>
      </c>
      <c r="B60" s="224" t="s">
        <v>5986</v>
      </c>
      <c r="C60" s="6" t="s">
        <v>5987</v>
      </c>
      <c r="D60" s="6" t="s">
        <v>5988</v>
      </c>
      <c r="E60" s="28" t="s">
        <v>5943</v>
      </c>
      <c r="F60" s="6" t="s">
        <v>620</v>
      </c>
      <c r="G60" s="224" t="s">
        <v>5827</v>
      </c>
      <c r="H60" s="6" t="s">
        <v>620</v>
      </c>
      <c r="I60" s="224" t="s">
        <v>5829</v>
      </c>
      <c r="J60" s="224" t="s">
        <v>651</v>
      </c>
    </row>
    <row r="61" customFormat="false" ht="57.75" hidden="false" customHeight="true" outlineLevel="0" collapsed="false">
      <c r="A61" s="28" t="s">
        <v>5989</v>
      </c>
      <c r="B61" s="224" t="s">
        <v>5986</v>
      </c>
      <c r="C61" s="19" t="s">
        <v>5990</v>
      </c>
      <c r="D61" s="19" t="s">
        <v>5991</v>
      </c>
      <c r="E61" s="28" t="s">
        <v>5826</v>
      </c>
      <c r="F61" s="6" t="s">
        <v>620</v>
      </c>
      <c r="G61" s="224" t="s">
        <v>5827</v>
      </c>
      <c r="H61" s="6" t="s">
        <v>620</v>
      </c>
      <c r="I61" s="224" t="s">
        <v>5829</v>
      </c>
      <c r="J61" s="224" t="s">
        <v>651</v>
      </c>
    </row>
    <row r="62" customFormat="false" ht="29.25" hidden="false" customHeight="true" outlineLevel="0" collapsed="false">
      <c r="A62" s="28" t="s">
        <v>5992</v>
      </c>
      <c r="B62" s="224" t="s">
        <v>5986</v>
      </c>
      <c r="C62" s="19" t="s">
        <v>5993</v>
      </c>
      <c r="D62" s="6" t="s">
        <v>5994</v>
      </c>
      <c r="E62" s="28" t="s">
        <v>5826</v>
      </c>
      <c r="F62" s="6" t="s">
        <v>620</v>
      </c>
      <c r="G62" s="224" t="s">
        <v>5827</v>
      </c>
      <c r="H62" s="6" t="s">
        <v>620</v>
      </c>
      <c r="I62" s="224" t="s">
        <v>5829</v>
      </c>
      <c r="J62" s="224" t="s">
        <v>651</v>
      </c>
    </row>
    <row r="63" customFormat="false" ht="15" hidden="false" customHeight="true" outlineLevel="0" collapsed="false">
      <c r="A63" s="28" t="s">
        <v>5995</v>
      </c>
      <c r="B63" s="224" t="s">
        <v>5986</v>
      </c>
      <c r="C63" s="19" t="s">
        <v>5996</v>
      </c>
      <c r="D63" s="19" t="s">
        <v>5997</v>
      </c>
      <c r="E63" s="28" t="s">
        <v>5826</v>
      </c>
      <c r="F63" s="6" t="s">
        <v>620</v>
      </c>
      <c r="G63" s="224" t="s">
        <v>5827</v>
      </c>
      <c r="H63" s="6" t="s">
        <v>620</v>
      </c>
      <c r="I63" s="224" t="s">
        <v>5829</v>
      </c>
      <c r="J63" s="224" t="s">
        <v>651</v>
      </c>
    </row>
    <row r="64" customFormat="false" ht="29.25" hidden="false" customHeight="true" outlineLevel="0" collapsed="false">
      <c r="A64" s="28" t="s">
        <v>4551</v>
      </c>
      <c r="B64" s="224" t="s">
        <v>5986</v>
      </c>
      <c r="C64" s="19" t="s">
        <v>5998</v>
      </c>
      <c r="D64" s="19" t="s">
        <v>5999</v>
      </c>
      <c r="E64" s="28" t="s">
        <v>5826</v>
      </c>
      <c r="F64" s="19" t="s">
        <v>6000</v>
      </c>
      <c r="G64" s="224" t="s">
        <v>5827</v>
      </c>
      <c r="H64" s="6" t="s">
        <v>620</v>
      </c>
      <c r="I64" s="224" t="s">
        <v>5829</v>
      </c>
      <c r="J64" s="224" t="s">
        <v>651</v>
      </c>
    </row>
    <row r="65" customFormat="false" ht="29.25" hidden="false" customHeight="true" outlineLevel="0" collapsed="false">
      <c r="A65" s="28" t="s">
        <v>4055</v>
      </c>
      <c r="B65" s="224" t="s">
        <v>5986</v>
      </c>
      <c r="C65" s="6" t="s">
        <v>6001</v>
      </c>
      <c r="D65" s="6" t="s">
        <v>6002</v>
      </c>
      <c r="E65" s="28" t="s">
        <v>5826</v>
      </c>
      <c r="F65" s="6" t="s">
        <v>620</v>
      </c>
      <c r="G65" s="224" t="s">
        <v>5827</v>
      </c>
      <c r="H65" s="6" t="s">
        <v>620</v>
      </c>
      <c r="I65" s="224" t="s">
        <v>5829</v>
      </c>
      <c r="J65" s="224" t="s">
        <v>651</v>
      </c>
    </row>
    <row r="66" customFormat="false" ht="57.75" hidden="false" customHeight="true" outlineLevel="0" collapsed="false">
      <c r="A66" s="28" t="s">
        <v>4567</v>
      </c>
      <c r="B66" s="224" t="s">
        <v>5986</v>
      </c>
      <c r="C66" s="6" t="s">
        <v>6003</v>
      </c>
      <c r="D66" s="19" t="s">
        <v>6004</v>
      </c>
      <c r="E66" s="28" t="s">
        <v>5826</v>
      </c>
      <c r="F66" s="6" t="s">
        <v>620</v>
      </c>
      <c r="G66" s="224" t="s">
        <v>5827</v>
      </c>
      <c r="H66" s="6" t="s">
        <v>620</v>
      </c>
      <c r="I66" s="224" t="s">
        <v>5829</v>
      </c>
      <c r="J66" s="224" t="s">
        <v>651</v>
      </c>
    </row>
    <row r="67" customFormat="false" ht="43.5" hidden="false" customHeight="true" outlineLevel="0" collapsed="false">
      <c r="A67" s="28" t="s">
        <v>4069</v>
      </c>
      <c r="B67" s="224" t="s">
        <v>5986</v>
      </c>
      <c r="C67" s="19" t="s">
        <v>6005</v>
      </c>
      <c r="D67" s="19" t="s">
        <v>6006</v>
      </c>
      <c r="E67" s="28" t="s">
        <v>5826</v>
      </c>
      <c r="F67" s="6" t="s">
        <v>620</v>
      </c>
      <c r="G67" s="224" t="s">
        <v>5827</v>
      </c>
      <c r="H67" s="6" t="s">
        <v>620</v>
      </c>
      <c r="I67" s="224" t="s">
        <v>5829</v>
      </c>
      <c r="J67" s="224" t="s">
        <v>651</v>
      </c>
    </row>
    <row r="68" customFormat="false" ht="57.75" hidden="false" customHeight="true" outlineLevel="0" collapsed="false">
      <c r="A68" s="28" t="s">
        <v>4087</v>
      </c>
      <c r="B68" s="224" t="s">
        <v>5986</v>
      </c>
      <c r="C68" s="19" t="s">
        <v>6007</v>
      </c>
      <c r="D68" s="19" t="s">
        <v>6008</v>
      </c>
      <c r="E68" s="28" t="s">
        <v>5826</v>
      </c>
      <c r="F68" s="19" t="s">
        <v>6009</v>
      </c>
      <c r="G68" s="224" t="s">
        <v>5827</v>
      </c>
      <c r="H68" s="6" t="s">
        <v>620</v>
      </c>
      <c r="I68" s="224" t="s">
        <v>5829</v>
      </c>
      <c r="J68" s="224" t="s">
        <v>651</v>
      </c>
    </row>
    <row r="69" customFormat="false" ht="29.25" hidden="false" customHeight="true" outlineLevel="0" collapsed="false">
      <c r="A69" s="28" t="s">
        <v>4100</v>
      </c>
      <c r="B69" s="224" t="s">
        <v>5986</v>
      </c>
      <c r="C69" s="19" t="s">
        <v>6010</v>
      </c>
      <c r="D69" s="19" t="s">
        <v>6011</v>
      </c>
      <c r="E69" s="28" t="s">
        <v>5826</v>
      </c>
      <c r="F69" s="6" t="s">
        <v>620</v>
      </c>
      <c r="G69" s="224" t="s">
        <v>5827</v>
      </c>
      <c r="H69" s="6" t="s">
        <v>620</v>
      </c>
      <c r="I69" s="224" t="s">
        <v>5829</v>
      </c>
      <c r="J69" s="224" t="s">
        <v>651</v>
      </c>
    </row>
    <row r="70" customFormat="false" ht="15" hidden="false" customHeight="true" outlineLevel="0" collapsed="false">
      <c r="A70" s="28" t="s">
        <v>4120</v>
      </c>
      <c r="B70" s="224" t="s">
        <v>5986</v>
      </c>
      <c r="C70" s="19" t="s">
        <v>6012</v>
      </c>
      <c r="D70" s="19" t="s">
        <v>6013</v>
      </c>
      <c r="E70" s="28" t="s">
        <v>5826</v>
      </c>
      <c r="F70" s="6" t="s">
        <v>620</v>
      </c>
      <c r="G70" s="224" t="s">
        <v>5827</v>
      </c>
      <c r="H70" s="6" t="s">
        <v>620</v>
      </c>
      <c r="I70" s="224" t="s">
        <v>5829</v>
      </c>
      <c r="J70" s="224" t="s">
        <v>651</v>
      </c>
    </row>
    <row r="71" customFormat="false" ht="29.25" hidden="false" customHeight="true" outlineLevel="0" collapsed="false">
      <c r="A71" s="28" t="s">
        <v>4141</v>
      </c>
      <c r="B71" s="224" t="s">
        <v>5986</v>
      </c>
      <c r="C71" s="19" t="s">
        <v>6014</v>
      </c>
      <c r="D71" s="19" t="s">
        <v>6015</v>
      </c>
      <c r="E71" s="28" t="s">
        <v>5943</v>
      </c>
      <c r="F71" s="6" t="s">
        <v>620</v>
      </c>
      <c r="G71" s="224" t="s">
        <v>5827</v>
      </c>
      <c r="H71" s="6" t="s">
        <v>620</v>
      </c>
      <c r="I71" s="224" t="s">
        <v>5829</v>
      </c>
      <c r="J71" s="224" t="s">
        <v>651</v>
      </c>
    </row>
    <row r="72" customFormat="false" ht="129" hidden="false" customHeight="true" outlineLevel="0" collapsed="false">
      <c r="A72" s="28" t="s">
        <v>4618</v>
      </c>
      <c r="B72" s="224" t="s">
        <v>5986</v>
      </c>
      <c r="C72" s="6" t="s">
        <v>6016</v>
      </c>
      <c r="D72" s="6" t="s">
        <v>6017</v>
      </c>
      <c r="E72" s="28" t="s">
        <v>5943</v>
      </c>
      <c r="F72" s="19" t="s">
        <v>6018</v>
      </c>
      <c r="G72" s="224" t="s">
        <v>5827</v>
      </c>
      <c r="H72" s="6" t="s">
        <v>620</v>
      </c>
      <c r="I72" s="224" t="s">
        <v>5829</v>
      </c>
      <c r="J72" s="224" t="s">
        <v>651</v>
      </c>
    </row>
    <row r="73" customFormat="false" ht="57.75" hidden="false" customHeight="true" outlineLevel="0" collapsed="false">
      <c r="A73" s="28" t="s">
        <v>4156</v>
      </c>
      <c r="B73" s="224" t="s">
        <v>5986</v>
      </c>
      <c r="C73" s="19" t="s">
        <v>6019</v>
      </c>
      <c r="D73" s="19" t="s">
        <v>6020</v>
      </c>
      <c r="E73" s="28" t="s">
        <v>5943</v>
      </c>
      <c r="F73" s="19" t="s">
        <v>6021</v>
      </c>
      <c r="G73" s="224" t="s">
        <v>5827</v>
      </c>
      <c r="H73" s="6" t="s">
        <v>620</v>
      </c>
      <c r="I73" s="224" t="s">
        <v>5829</v>
      </c>
      <c r="J73" s="224" t="s">
        <v>651</v>
      </c>
    </row>
    <row r="74" customFormat="false" ht="29.25" hidden="false" customHeight="true" outlineLevel="0" collapsed="false">
      <c r="A74" s="28" t="s">
        <v>3830</v>
      </c>
      <c r="B74" s="28" t="s">
        <v>5954</v>
      </c>
      <c r="C74" s="19" t="s">
        <v>6022</v>
      </c>
      <c r="D74" s="6" t="s">
        <v>6023</v>
      </c>
      <c r="E74" s="28" t="s">
        <v>5943</v>
      </c>
      <c r="F74" s="6" t="s">
        <v>6024</v>
      </c>
      <c r="G74" s="224" t="s">
        <v>5827</v>
      </c>
      <c r="H74" s="6" t="s">
        <v>6025</v>
      </c>
      <c r="I74" s="224" t="s">
        <v>6026</v>
      </c>
      <c r="J74" s="224" t="s">
        <v>651</v>
      </c>
    </row>
    <row r="75" customFormat="false" ht="15" hidden="false" customHeight="true" outlineLevel="0" collapsed="false">
      <c r="A75" s="28" t="s">
        <v>6027</v>
      </c>
      <c r="B75" s="28" t="s">
        <v>6028</v>
      </c>
      <c r="C75" s="19" t="s">
        <v>6029</v>
      </c>
      <c r="D75" s="19" t="s">
        <v>6030</v>
      </c>
      <c r="E75" s="28" t="s">
        <v>5943</v>
      </c>
      <c r="F75" s="19" t="s">
        <v>6031</v>
      </c>
      <c r="G75" s="198" t="s">
        <v>6032</v>
      </c>
      <c r="H75" s="6" t="s">
        <v>6033</v>
      </c>
      <c r="I75" s="224" t="s">
        <v>6034</v>
      </c>
      <c r="J75" s="224" t="s">
        <v>651</v>
      </c>
    </row>
    <row r="76" customFormat="false" ht="15" hidden="false" customHeight="true" outlineLevel="0" collapsed="false">
      <c r="A76" s="28" t="s">
        <v>6035</v>
      </c>
      <c r="B76" s="28" t="s">
        <v>6028</v>
      </c>
      <c r="C76" s="19" t="s">
        <v>6036</v>
      </c>
      <c r="D76" s="19" t="s">
        <v>6037</v>
      </c>
      <c r="E76" s="28" t="s">
        <v>5943</v>
      </c>
      <c r="F76" s="19" t="s">
        <v>6031</v>
      </c>
      <c r="G76" s="198" t="s">
        <v>6032</v>
      </c>
      <c r="H76" s="6" t="s">
        <v>6033</v>
      </c>
      <c r="I76" s="224" t="s">
        <v>6034</v>
      </c>
      <c r="J76" s="224" t="s">
        <v>651</v>
      </c>
    </row>
    <row r="77" customFormat="false" ht="15" hidden="false" customHeight="true" outlineLevel="0" collapsed="false">
      <c r="A77" s="28" t="s">
        <v>6038</v>
      </c>
      <c r="B77" s="28" t="s">
        <v>6028</v>
      </c>
      <c r="C77" s="6" t="s">
        <v>6039</v>
      </c>
      <c r="D77" s="19" t="s">
        <v>6040</v>
      </c>
      <c r="E77" s="28" t="s">
        <v>5943</v>
      </c>
      <c r="F77" s="19" t="s">
        <v>6031</v>
      </c>
      <c r="G77" s="198" t="s">
        <v>6032</v>
      </c>
      <c r="H77" s="6" t="s">
        <v>6033</v>
      </c>
      <c r="I77" s="224" t="s">
        <v>6034</v>
      </c>
      <c r="J77" s="224" t="s">
        <v>651</v>
      </c>
    </row>
    <row r="78" customFormat="false" ht="15" hidden="false" customHeight="true" outlineLevel="0" collapsed="false">
      <c r="A78" s="28" t="s">
        <v>6041</v>
      </c>
      <c r="B78" s="28" t="s">
        <v>6028</v>
      </c>
      <c r="C78" s="19" t="s">
        <v>6042</v>
      </c>
      <c r="D78" s="19" t="s">
        <v>6043</v>
      </c>
      <c r="E78" s="28" t="s">
        <v>5943</v>
      </c>
      <c r="F78" s="19" t="s">
        <v>6031</v>
      </c>
      <c r="G78" s="198" t="s">
        <v>6032</v>
      </c>
      <c r="H78" s="6" t="s">
        <v>6033</v>
      </c>
      <c r="I78" s="224" t="s">
        <v>6034</v>
      </c>
      <c r="J78" s="224" t="s">
        <v>651</v>
      </c>
    </row>
    <row r="79" customFormat="false" ht="29.25" hidden="false" customHeight="true" outlineLevel="0" collapsed="false">
      <c r="A79" s="28" t="s">
        <v>6044</v>
      </c>
      <c r="B79" s="28" t="s">
        <v>6028</v>
      </c>
      <c r="C79" s="6" t="s">
        <v>6045</v>
      </c>
      <c r="D79" s="19" t="s">
        <v>6046</v>
      </c>
      <c r="E79" s="28" t="s">
        <v>5943</v>
      </c>
      <c r="F79" s="19" t="s">
        <v>6031</v>
      </c>
      <c r="G79" s="198" t="s">
        <v>6032</v>
      </c>
      <c r="H79" s="6" t="s">
        <v>6033</v>
      </c>
      <c r="I79" s="224" t="s">
        <v>6034</v>
      </c>
      <c r="J79" s="224" t="s">
        <v>651</v>
      </c>
    </row>
    <row r="80" customFormat="false" ht="15" hidden="false" customHeight="true" outlineLevel="0" collapsed="false">
      <c r="A80" s="28" t="s">
        <v>6047</v>
      </c>
      <c r="B80" s="28" t="s">
        <v>6028</v>
      </c>
      <c r="C80" s="19" t="s">
        <v>6048</v>
      </c>
      <c r="D80" s="19" t="s">
        <v>6049</v>
      </c>
      <c r="E80" s="28" t="s">
        <v>5943</v>
      </c>
      <c r="F80" s="19" t="s">
        <v>6031</v>
      </c>
      <c r="G80" s="198" t="s">
        <v>6032</v>
      </c>
      <c r="H80" s="6" t="s">
        <v>6033</v>
      </c>
      <c r="I80" s="224" t="s">
        <v>6034</v>
      </c>
      <c r="J80" s="224" t="s">
        <v>651</v>
      </c>
    </row>
    <row r="81" customFormat="false" ht="15" hidden="false" customHeight="true" outlineLevel="0" collapsed="false">
      <c r="A81" s="28" t="s">
        <v>6050</v>
      </c>
      <c r="B81" s="28" t="s">
        <v>6028</v>
      </c>
      <c r="C81" s="19" t="s">
        <v>6051</v>
      </c>
      <c r="D81" s="19" t="s">
        <v>6052</v>
      </c>
      <c r="E81" s="28" t="s">
        <v>5943</v>
      </c>
      <c r="F81" s="19" t="s">
        <v>6031</v>
      </c>
      <c r="G81" s="198" t="s">
        <v>6032</v>
      </c>
      <c r="H81" s="6" t="s">
        <v>6033</v>
      </c>
      <c r="I81" s="224" t="s">
        <v>6034</v>
      </c>
      <c r="J81" s="224" t="s">
        <v>651</v>
      </c>
    </row>
    <row r="82" customFormat="false" ht="15" hidden="false" customHeight="true" outlineLevel="0" collapsed="false">
      <c r="A82" s="28" t="s">
        <v>5455</v>
      </c>
      <c r="B82" s="28" t="s">
        <v>6028</v>
      </c>
      <c r="C82" s="19" t="s">
        <v>6053</v>
      </c>
      <c r="D82" s="19" t="s">
        <v>6054</v>
      </c>
      <c r="E82" s="28" t="s">
        <v>5943</v>
      </c>
      <c r="F82" s="19" t="s">
        <v>6031</v>
      </c>
      <c r="G82" s="198" t="s">
        <v>6032</v>
      </c>
      <c r="H82" s="6" t="s">
        <v>6033</v>
      </c>
      <c r="I82" s="224" t="s">
        <v>6034</v>
      </c>
      <c r="J82" s="224" t="s">
        <v>651</v>
      </c>
    </row>
    <row r="83" customFormat="false" ht="15" hidden="false" customHeight="true" outlineLevel="0" collapsed="false">
      <c r="A83" s="28" t="s">
        <v>6055</v>
      </c>
      <c r="B83" s="224" t="s">
        <v>6056</v>
      </c>
      <c r="C83" s="19" t="s">
        <v>6057</v>
      </c>
      <c r="D83" s="19" t="s">
        <v>6058</v>
      </c>
      <c r="E83" s="28" t="s">
        <v>5943</v>
      </c>
      <c r="F83" s="19" t="s">
        <v>6059</v>
      </c>
      <c r="G83" s="224" t="s">
        <v>5827</v>
      </c>
      <c r="H83" s="6" t="s">
        <v>620</v>
      </c>
      <c r="I83" s="224" t="s">
        <v>6060</v>
      </c>
      <c r="J83" s="224" t="s">
        <v>651</v>
      </c>
    </row>
    <row r="84" customFormat="false" ht="43.5" hidden="false" customHeight="true" outlineLevel="0" collapsed="false">
      <c r="A84" s="28" t="s">
        <v>6061</v>
      </c>
      <c r="B84" s="224" t="s">
        <v>6056</v>
      </c>
      <c r="C84" s="6" t="s">
        <v>6062</v>
      </c>
      <c r="D84" s="19" t="s">
        <v>6063</v>
      </c>
      <c r="E84" s="28" t="s">
        <v>5943</v>
      </c>
      <c r="F84" s="19" t="s">
        <v>6064</v>
      </c>
      <c r="G84" s="224" t="s">
        <v>5827</v>
      </c>
      <c r="H84" s="6" t="s">
        <v>6065</v>
      </c>
      <c r="I84" s="224" t="s">
        <v>6060</v>
      </c>
      <c r="J84" s="224" t="s">
        <v>651</v>
      </c>
    </row>
    <row r="85" customFormat="false" ht="26.25" hidden="false" customHeight="true" outlineLevel="0" collapsed="false">
      <c r="A85" s="28" t="s">
        <v>6066</v>
      </c>
      <c r="B85" s="224" t="s">
        <v>6056</v>
      </c>
      <c r="C85" s="6" t="s">
        <v>6067</v>
      </c>
      <c r="D85" s="6" t="s">
        <v>6068</v>
      </c>
      <c r="E85" s="28" t="s">
        <v>5943</v>
      </c>
      <c r="F85" s="19" t="s">
        <v>6064</v>
      </c>
      <c r="G85" s="224" t="s">
        <v>5827</v>
      </c>
      <c r="H85" s="6" t="s">
        <v>6069</v>
      </c>
      <c r="I85" s="224" t="s">
        <v>6060</v>
      </c>
      <c r="J85" s="224" t="s">
        <v>651</v>
      </c>
    </row>
    <row r="86" customFormat="false" ht="29.25" hidden="false" customHeight="true" outlineLevel="0" collapsed="false">
      <c r="A86" s="28" t="s">
        <v>6070</v>
      </c>
      <c r="B86" s="224" t="s">
        <v>6056</v>
      </c>
      <c r="C86" s="19" t="s">
        <v>6071</v>
      </c>
      <c r="D86" s="19" t="s">
        <v>6072</v>
      </c>
      <c r="E86" s="28" t="s">
        <v>5943</v>
      </c>
      <c r="F86" s="19" t="s">
        <v>6064</v>
      </c>
      <c r="G86" s="224" t="s">
        <v>5827</v>
      </c>
      <c r="H86" s="6" t="s">
        <v>620</v>
      </c>
      <c r="I86" s="224" t="s">
        <v>6060</v>
      </c>
      <c r="J86" s="224" t="s">
        <v>651</v>
      </c>
    </row>
    <row r="87" customFormat="false" ht="29.25" hidden="false" customHeight="true" outlineLevel="0" collapsed="false">
      <c r="A87" s="28" t="s">
        <v>6073</v>
      </c>
      <c r="B87" s="224" t="s">
        <v>6056</v>
      </c>
      <c r="C87" s="19" t="s">
        <v>6074</v>
      </c>
      <c r="D87" s="19" t="s">
        <v>6075</v>
      </c>
      <c r="E87" s="28" t="s">
        <v>5943</v>
      </c>
      <c r="F87" s="19" t="s">
        <v>6059</v>
      </c>
      <c r="G87" s="224" t="s">
        <v>5827</v>
      </c>
      <c r="H87" s="6" t="s">
        <v>6076</v>
      </c>
      <c r="I87" s="224" t="s">
        <v>6060</v>
      </c>
      <c r="J87" s="224" t="s">
        <v>651</v>
      </c>
    </row>
    <row r="88" customFormat="false" ht="29.25" hidden="false" customHeight="true" outlineLevel="0" collapsed="false">
      <c r="A88" s="28" t="s">
        <v>5246</v>
      </c>
      <c r="B88" s="224" t="s">
        <v>6056</v>
      </c>
      <c r="C88" s="6" t="s">
        <v>6077</v>
      </c>
      <c r="D88" s="6" t="s">
        <v>6078</v>
      </c>
      <c r="E88" s="28" t="s">
        <v>5943</v>
      </c>
      <c r="F88" s="19" t="s">
        <v>6064</v>
      </c>
      <c r="G88" s="224" t="s">
        <v>5827</v>
      </c>
      <c r="H88" s="6" t="s">
        <v>6079</v>
      </c>
      <c r="I88" s="224" t="s">
        <v>6060</v>
      </c>
      <c r="J88" s="224" t="s">
        <v>651</v>
      </c>
    </row>
    <row r="89" customFormat="false" ht="29.25" hidden="false" customHeight="true" outlineLevel="0" collapsed="false">
      <c r="A89" s="28" t="s">
        <v>6080</v>
      </c>
      <c r="B89" s="224" t="s">
        <v>6056</v>
      </c>
      <c r="C89" s="19" t="s">
        <v>6081</v>
      </c>
      <c r="D89" s="6" t="s">
        <v>6082</v>
      </c>
      <c r="E89" s="28" t="s">
        <v>5943</v>
      </c>
      <c r="F89" s="19" t="s">
        <v>6064</v>
      </c>
      <c r="G89" s="224" t="s">
        <v>5827</v>
      </c>
      <c r="H89" s="6" t="s">
        <v>620</v>
      </c>
      <c r="I89" s="224" t="s">
        <v>6060</v>
      </c>
      <c r="J89" s="224" t="s">
        <v>651</v>
      </c>
    </row>
    <row r="90" customFormat="false" ht="43.5" hidden="false" customHeight="true" outlineLevel="0" collapsed="false">
      <c r="A90" s="28" t="s">
        <v>6083</v>
      </c>
      <c r="B90" s="224" t="s">
        <v>6056</v>
      </c>
      <c r="C90" s="19" t="s">
        <v>6084</v>
      </c>
      <c r="D90" s="19" t="s">
        <v>6085</v>
      </c>
      <c r="E90" s="28" t="s">
        <v>5943</v>
      </c>
      <c r="F90" s="19" t="s">
        <v>6086</v>
      </c>
      <c r="G90" s="224" t="s">
        <v>5827</v>
      </c>
      <c r="H90" s="6" t="s">
        <v>620</v>
      </c>
      <c r="I90" s="224" t="s">
        <v>6060</v>
      </c>
      <c r="J90" s="224" t="s">
        <v>651</v>
      </c>
    </row>
    <row r="91" customFormat="false" ht="29.25" hidden="false" customHeight="true" outlineLevel="0" collapsed="false">
      <c r="A91" s="28" t="s">
        <v>6087</v>
      </c>
      <c r="B91" s="224" t="s">
        <v>6056</v>
      </c>
      <c r="C91" s="19" t="s">
        <v>6088</v>
      </c>
      <c r="D91" s="6" t="s">
        <v>6089</v>
      </c>
      <c r="E91" s="28" t="s">
        <v>5943</v>
      </c>
      <c r="F91" s="6" t="s">
        <v>620</v>
      </c>
      <c r="G91" s="224" t="s">
        <v>5827</v>
      </c>
      <c r="H91" s="6" t="s">
        <v>620</v>
      </c>
      <c r="I91" s="224" t="s">
        <v>6060</v>
      </c>
      <c r="J91" s="224" t="s">
        <v>651</v>
      </c>
    </row>
    <row r="92" customFormat="false" ht="15" hidden="false" customHeight="true" outlineLevel="0" collapsed="false">
      <c r="A92" s="28" t="s">
        <v>6090</v>
      </c>
      <c r="B92" s="224" t="s">
        <v>6056</v>
      </c>
      <c r="C92" s="19" t="s">
        <v>6091</v>
      </c>
      <c r="D92" s="19" t="s">
        <v>6092</v>
      </c>
      <c r="E92" s="28" t="s">
        <v>5943</v>
      </c>
      <c r="F92" s="6" t="s">
        <v>620</v>
      </c>
      <c r="G92" s="224" t="s">
        <v>5827</v>
      </c>
      <c r="H92" s="6" t="s">
        <v>620</v>
      </c>
      <c r="I92" s="224" t="s">
        <v>6060</v>
      </c>
      <c r="J92" s="224" t="s">
        <v>651</v>
      </c>
    </row>
    <row r="93" customFormat="false" ht="29.25" hidden="false" customHeight="true" outlineLevel="0" collapsed="false">
      <c r="A93" s="28" t="s">
        <v>6093</v>
      </c>
      <c r="B93" s="224" t="s">
        <v>6056</v>
      </c>
      <c r="C93" s="6" t="s">
        <v>6094</v>
      </c>
      <c r="D93" s="19" t="s">
        <v>6095</v>
      </c>
      <c r="E93" s="28" t="s">
        <v>5943</v>
      </c>
      <c r="F93" s="19" t="s">
        <v>6096</v>
      </c>
      <c r="G93" s="224" t="s">
        <v>5827</v>
      </c>
      <c r="H93" s="6" t="s">
        <v>5945</v>
      </c>
      <c r="I93" s="224" t="s">
        <v>6060</v>
      </c>
      <c r="J93" s="224" t="s">
        <v>651</v>
      </c>
    </row>
    <row r="94" customFormat="false" ht="29.25" hidden="false" customHeight="true" outlineLevel="0" collapsed="false">
      <c r="A94" s="28" t="s">
        <v>4046</v>
      </c>
      <c r="B94" s="224" t="s">
        <v>6097</v>
      </c>
      <c r="C94" s="6" t="s">
        <v>6098</v>
      </c>
      <c r="D94" s="6" t="s">
        <v>6099</v>
      </c>
      <c r="E94" s="28" t="s">
        <v>6100</v>
      </c>
      <c r="F94" s="228" t="s">
        <v>6101</v>
      </c>
      <c r="G94" s="224" t="s">
        <v>5827</v>
      </c>
      <c r="H94" s="6" t="s">
        <v>6102</v>
      </c>
      <c r="I94" s="28" t="s">
        <v>6103</v>
      </c>
      <c r="J94" s="224" t="s">
        <v>651</v>
      </c>
    </row>
    <row r="95" customFormat="false" ht="51.75" hidden="false" customHeight="true" outlineLevel="0" collapsed="false">
      <c r="A95" s="28" t="s">
        <v>6104</v>
      </c>
      <c r="B95" s="28" t="s">
        <v>6028</v>
      </c>
      <c r="C95" s="19" t="s">
        <v>6105</v>
      </c>
      <c r="D95" s="6" t="s">
        <v>6106</v>
      </c>
      <c r="E95" s="28" t="s">
        <v>6107</v>
      </c>
      <c r="F95" s="19" t="s">
        <v>6108</v>
      </c>
      <c r="G95" s="28" t="s">
        <v>6109</v>
      </c>
      <c r="H95" s="6" t="s">
        <v>6110</v>
      </c>
      <c r="I95" s="224" t="s">
        <v>6111</v>
      </c>
      <c r="J95" s="224" t="s">
        <v>651</v>
      </c>
    </row>
    <row r="96" customFormat="false" ht="26.25" hidden="false" customHeight="true" outlineLevel="0" collapsed="false">
      <c r="A96" s="28" t="s">
        <v>6112</v>
      </c>
      <c r="B96" s="28" t="s">
        <v>6028</v>
      </c>
      <c r="C96" s="19" t="s">
        <v>5490</v>
      </c>
      <c r="D96" s="19" t="s">
        <v>6113</v>
      </c>
      <c r="E96" s="28" t="s">
        <v>6107</v>
      </c>
      <c r="F96" s="19" t="s">
        <v>6114</v>
      </c>
      <c r="G96" s="28" t="s">
        <v>6109</v>
      </c>
      <c r="H96" s="6" t="s">
        <v>6115</v>
      </c>
      <c r="I96" s="224" t="s">
        <v>6111</v>
      </c>
      <c r="J96" s="224" t="s">
        <v>651</v>
      </c>
    </row>
    <row r="97" customFormat="false" ht="26.25" hidden="false" customHeight="true" outlineLevel="0" collapsed="false">
      <c r="A97" s="28" t="s">
        <v>6116</v>
      </c>
      <c r="B97" s="28" t="s">
        <v>6117</v>
      </c>
      <c r="C97" s="19" t="s">
        <v>6118</v>
      </c>
      <c r="D97" s="6" t="s">
        <v>6119</v>
      </c>
      <c r="E97" s="28" t="s">
        <v>6120</v>
      </c>
      <c r="F97" s="19" t="s">
        <v>6121</v>
      </c>
      <c r="G97" s="224" t="s">
        <v>6122</v>
      </c>
      <c r="H97" s="6" t="s">
        <v>6123</v>
      </c>
      <c r="I97" s="224" t="s">
        <v>6124</v>
      </c>
      <c r="J97" s="224" t="s">
        <v>651</v>
      </c>
    </row>
    <row r="98" customFormat="false" ht="26.25" hidden="false" customHeight="true" outlineLevel="0" collapsed="false">
      <c r="A98" s="28" t="s">
        <v>6125</v>
      </c>
      <c r="B98" s="28" t="s">
        <v>6117</v>
      </c>
      <c r="C98" s="6" t="s">
        <v>6126</v>
      </c>
      <c r="D98" s="6" t="s">
        <v>6127</v>
      </c>
      <c r="E98" s="28" t="s">
        <v>6120</v>
      </c>
      <c r="F98" s="19" t="s">
        <v>6121</v>
      </c>
      <c r="G98" s="224" t="s">
        <v>6122</v>
      </c>
      <c r="H98" s="6" t="s">
        <v>6128</v>
      </c>
      <c r="I98" s="224" t="s">
        <v>6124</v>
      </c>
      <c r="J98" s="224" t="s">
        <v>651</v>
      </c>
    </row>
    <row r="99" customFormat="false" ht="51.75" hidden="false" customHeight="true" outlineLevel="0" collapsed="false">
      <c r="A99" s="28" t="s">
        <v>3790</v>
      </c>
      <c r="B99" s="28" t="s">
        <v>6117</v>
      </c>
      <c r="C99" s="19" t="s">
        <v>6129</v>
      </c>
      <c r="D99" s="19" t="s">
        <v>6130</v>
      </c>
      <c r="E99" s="28" t="s">
        <v>6120</v>
      </c>
      <c r="F99" s="19" t="s">
        <v>6131</v>
      </c>
      <c r="G99" s="224" t="s">
        <v>6122</v>
      </c>
      <c r="H99" s="6" t="s">
        <v>6132</v>
      </c>
      <c r="I99" s="224" t="s">
        <v>6133</v>
      </c>
      <c r="J99" s="224" t="s">
        <v>651</v>
      </c>
    </row>
    <row r="100" customFormat="false" ht="39" hidden="false" customHeight="true" outlineLevel="0" collapsed="false">
      <c r="A100" s="28" t="s">
        <v>4672</v>
      </c>
      <c r="B100" s="28" t="s">
        <v>6117</v>
      </c>
      <c r="C100" s="19" t="s">
        <v>6134</v>
      </c>
      <c r="D100" s="19" t="s">
        <v>6135</v>
      </c>
      <c r="E100" s="28" t="s">
        <v>6120</v>
      </c>
      <c r="F100" s="19" t="s">
        <v>6136</v>
      </c>
      <c r="G100" s="224" t="s">
        <v>6122</v>
      </c>
      <c r="H100" s="6" t="s">
        <v>6137</v>
      </c>
      <c r="I100" s="224" t="s">
        <v>6133</v>
      </c>
      <c r="J100" s="224" t="s">
        <v>651</v>
      </c>
    </row>
    <row r="101" customFormat="false" ht="51.75" hidden="false" customHeight="true" outlineLevel="0" collapsed="false">
      <c r="A101" s="28" t="s">
        <v>6138</v>
      </c>
      <c r="B101" s="28" t="s">
        <v>6117</v>
      </c>
      <c r="C101" s="19" t="s">
        <v>6139</v>
      </c>
      <c r="D101" s="6" t="s">
        <v>6140</v>
      </c>
      <c r="E101" s="28" t="s">
        <v>6141</v>
      </c>
      <c r="F101" s="6" t="s">
        <v>6142</v>
      </c>
      <c r="G101" s="224" t="s">
        <v>6122</v>
      </c>
      <c r="H101" s="6" t="s">
        <v>6143</v>
      </c>
      <c r="I101" s="224" t="s">
        <v>6144</v>
      </c>
      <c r="J101" s="224" t="s">
        <v>623</v>
      </c>
    </row>
    <row r="102" customFormat="false" ht="39" hidden="false" customHeight="true" outlineLevel="0" collapsed="false">
      <c r="A102" s="28" t="s">
        <v>6145</v>
      </c>
      <c r="B102" s="28" t="s">
        <v>6117</v>
      </c>
      <c r="C102" s="6" t="s">
        <v>6146</v>
      </c>
      <c r="D102" s="6" t="s">
        <v>6147</v>
      </c>
      <c r="E102" s="28" t="s">
        <v>6141</v>
      </c>
      <c r="F102" s="6" t="s">
        <v>6148</v>
      </c>
      <c r="G102" s="224" t="s">
        <v>6122</v>
      </c>
      <c r="H102" s="6" t="s">
        <v>6149</v>
      </c>
      <c r="I102" s="224" t="s">
        <v>6150</v>
      </c>
      <c r="J102" s="224" t="s">
        <v>623</v>
      </c>
    </row>
    <row r="103" customFormat="false" ht="39" hidden="false" customHeight="true" outlineLevel="0" collapsed="false">
      <c r="A103" s="28" t="s">
        <v>6151</v>
      </c>
      <c r="B103" s="28" t="s">
        <v>6117</v>
      </c>
      <c r="C103" s="6" t="s">
        <v>6152</v>
      </c>
      <c r="D103" s="6" t="s">
        <v>6153</v>
      </c>
      <c r="E103" s="28" t="s">
        <v>6141</v>
      </c>
      <c r="F103" s="6" t="s">
        <v>6154</v>
      </c>
      <c r="G103" s="224" t="s">
        <v>6122</v>
      </c>
      <c r="H103" s="6" t="s">
        <v>6155</v>
      </c>
      <c r="I103" s="28" t="s">
        <v>6156</v>
      </c>
      <c r="J103" s="224" t="s">
        <v>623</v>
      </c>
    </row>
    <row r="104" customFormat="false" ht="26.25" hidden="false" customHeight="true" outlineLevel="0" collapsed="false">
      <c r="A104" s="28" t="s">
        <v>6157</v>
      </c>
      <c r="B104" s="28" t="s">
        <v>6117</v>
      </c>
      <c r="C104" s="6" t="s">
        <v>6158</v>
      </c>
      <c r="D104" s="19" t="s">
        <v>6159</v>
      </c>
      <c r="E104" s="28" t="s">
        <v>6120</v>
      </c>
      <c r="F104" s="19" t="s">
        <v>6160</v>
      </c>
      <c r="G104" s="224" t="s">
        <v>6122</v>
      </c>
      <c r="H104" s="6" t="s">
        <v>6161</v>
      </c>
      <c r="I104" s="224" t="s">
        <v>6162</v>
      </c>
      <c r="J104" s="224" t="s">
        <v>651</v>
      </c>
    </row>
    <row r="105" customFormat="false" ht="51.75" hidden="false" customHeight="true" outlineLevel="0" collapsed="false">
      <c r="A105" s="28" t="s">
        <v>3800</v>
      </c>
      <c r="B105" s="28" t="s">
        <v>6163</v>
      </c>
      <c r="C105" s="6" t="s">
        <v>6164</v>
      </c>
      <c r="D105" s="6" t="s">
        <v>6165</v>
      </c>
      <c r="E105" s="28" t="s">
        <v>6141</v>
      </c>
      <c r="F105" s="19" t="s">
        <v>6166</v>
      </c>
      <c r="G105" s="28" t="s">
        <v>6167</v>
      </c>
      <c r="H105" s="6" t="s">
        <v>6168</v>
      </c>
      <c r="I105" s="224" t="s">
        <v>6169</v>
      </c>
      <c r="J105" s="224" t="s">
        <v>651</v>
      </c>
    </row>
    <row r="106" customFormat="false" ht="51.75" hidden="false" customHeight="true" outlineLevel="0" collapsed="false">
      <c r="A106" s="28" t="s">
        <v>6170</v>
      </c>
      <c r="B106" s="28" t="s">
        <v>6163</v>
      </c>
      <c r="C106" s="6" t="s">
        <v>6171</v>
      </c>
      <c r="D106" s="6" t="s">
        <v>6172</v>
      </c>
      <c r="E106" s="28" t="s">
        <v>6141</v>
      </c>
      <c r="F106" s="19" t="s">
        <v>6173</v>
      </c>
      <c r="G106" s="28" t="s">
        <v>6167</v>
      </c>
      <c r="H106" s="6" t="s">
        <v>6174</v>
      </c>
      <c r="I106" s="224" t="s">
        <v>6175</v>
      </c>
      <c r="J106" s="224" t="s">
        <v>651</v>
      </c>
    </row>
    <row r="107" customFormat="false" ht="64.5" hidden="false" customHeight="true" outlineLevel="0" collapsed="false">
      <c r="A107" s="28" t="s">
        <v>6176</v>
      </c>
      <c r="B107" s="28" t="s">
        <v>6177</v>
      </c>
      <c r="C107" s="6" t="s">
        <v>6178</v>
      </c>
      <c r="D107" s="6" t="s">
        <v>6179</v>
      </c>
      <c r="E107" s="28" t="s">
        <v>6141</v>
      </c>
      <c r="F107" s="19" t="s">
        <v>6180</v>
      </c>
      <c r="G107" s="28" t="s">
        <v>6181</v>
      </c>
      <c r="H107" s="6" t="s">
        <v>6182</v>
      </c>
      <c r="I107" s="224" t="s">
        <v>6183</v>
      </c>
      <c r="J107" s="224" t="s">
        <v>651</v>
      </c>
    </row>
    <row r="108" customFormat="false" ht="51.75" hidden="false" customHeight="true" outlineLevel="0" collapsed="false">
      <c r="A108" s="28" t="s">
        <v>6184</v>
      </c>
      <c r="B108" s="28" t="s">
        <v>6177</v>
      </c>
      <c r="C108" s="6" t="s">
        <v>6185</v>
      </c>
      <c r="D108" s="6" t="s">
        <v>6186</v>
      </c>
      <c r="E108" s="28" t="s">
        <v>6141</v>
      </c>
      <c r="F108" s="19" t="s">
        <v>6187</v>
      </c>
      <c r="G108" s="28" t="s">
        <v>6188</v>
      </c>
      <c r="H108" s="6" t="s">
        <v>6189</v>
      </c>
      <c r="I108" s="224" t="s">
        <v>6190</v>
      </c>
      <c r="J108" s="224" t="s">
        <v>651</v>
      </c>
    </row>
    <row r="109" customFormat="false" ht="51.75" hidden="false" customHeight="true" outlineLevel="0" collapsed="false">
      <c r="A109" s="28" t="s">
        <v>6191</v>
      </c>
      <c r="B109" s="28" t="s">
        <v>6177</v>
      </c>
      <c r="C109" s="6" t="s">
        <v>6192</v>
      </c>
      <c r="D109" s="6" t="s">
        <v>6193</v>
      </c>
      <c r="E109" s="28" t="s">
        <v>6141</v>
      </c>
      <c r="F109" s="19" t="s">
        <v>6194</v>
      </c>
      <c r="G109" s="28" t="s">
        <v>6181</v>
      </c>
      <c r="H109" s="6" t="s">
        <v>6195</v>
      </c>
      <c r="I109" s="224" t="s">
        <v>6196</v>
      </c>
      <c r="J109" s="224" t="s">
        <v>651</v>
      </c>
    </row>
    <row r="110" customFormat="false" ht="51.75" hidden="false" customHeight="true" outlineLevel="0" collapsed="false">
      <c r="A110" s="28" t="s">
        <v>6197</v>
      </c>
      <c r="B110" s="28" t="s">
        <v>6198</v>
      </c>
      <c r="C110" s="6" t="s">
        <v>6199</v>
      </c>
      <c r="D110" s="6" t="s">
        <v>6200</v>
      </c>
      <c r="E110" s="28" t="s">
        <v>6141</v>
      </c>
      <c r="F110" s="19" t="s">
        <v>6201</v>
      </c>
      <c r="G110" s="28" t="s">
        <v>6202</v>
      </c>
      <c r="H110" s="6" t="s">
        <v>6203</v>
      </c>
      <c r="I110" s="224" t="s">
        <v>6204</v>
      </c>
      <c r="J110" s="224" t="s">
        <v>651</v>
      </c>
    </row>
    <row r="111" customFormat="false" ht="77.25" hidden="false" customHeight="true" outlineLevel="0" collapsed="false">
      <c r="A111" s="28" t="s">
        <v>3804</v>
      </c>
      <c r="B111" s="28" t="s">
        <v>6205</v>
      </c>
      <c r="C111" s="19" t="s">
        <v>6206</v>
      </c>
      <c r="D111" s="19" t="s">
        <v>6207</v>
      </c>
      <c r="E111" s="28" t="s">
        <v>6141</v>
      </c>
      <c r="F111" s="19" t="s">
        <v>6208</v>
      </c>
      <c r="G111" s="28" t="s">
        <v>6209</v>
      </c>
      <c r="H111" s="6" t="s">
        <v>6210</v>
      </c>
      <c r="I111" s="224" t="s">
        <v>6211</v>
      </c>
      <c r="J111" s="224" t="s">
        <v>651</v>
      </c>
    </row>
    <row r="112" customFormat="false" ht="51.75" hidden="false" customHeight="true" outlineLevel="0" collapsed="false">
      <c r="A112" s="28" t="s">
        <v>6212</v>
      </c>
      <c r="B112" s="28" t="s">
        <v>6205</v>
      </c>
      <c r="C112" s="6" t="s">
        <v>6213</v>
      </c>
      <c r="D112" s="6" t="s">
        <v>6214</v>
      </c>
      <c r="E112" s="28" t="s">
        <v>6141</v>
      </c>
      <c r="F112" s="19" t="s">
        <v>6215</v>
      </c>
      <c r="G112" s="28" t="s">
        <v>6209</v>
      </c>
      <c r="H112" s="6" t="s">
        <v>6216</v>
      </c>
      <c r="I112" s="224" t="s">
        <v>6217</v>
      </c>
      <c r="J112" s="224" t="s">
        <v>651</v>
      </c>
    </row>
    <row r="113" customFormat="false" ht="51.75" hidden="false" customHeight="true" outlineLevel="0" collapsed="false">
      <c r="A113" s="28" t="s">
        <v>6218</v>
      </c>
      <c r="B113" s="28" t="s">
        <v>6205</v>
      </c>
      <c r="C113" s="6" t="s">
        <v>6219</v>
      </c>
      <c r="D113" s="6" t="s">
        <v>6220</v>
      </c>
      <c r="E113" s="28" t="s">
        <v>6141</v>
      </c>
      <c r="F113" s="19" t="s">
        <v>6221</v>
      </c>
      <c r="G113" s="28" t="s">
        <v>6209</v>
      </c>
      <c r="H113" s="6" t="s">
        <v>6222</v>
      </c>
      <c r="I113" s="224" t="s">
        <v>6223</v>
      </c>
      <c r="J113" s="224" t="s">
        <v>651</v>
      </c>
    </row>
    <row r="114" customFormat="false" ht="141" hidden="false" customHeight="true" outlineLevel="0" collapsed="false">
      <c r="A114" s="28" t="s">
        <v>5534</v>
      </c>
      <c r="B114" s="28" t="s">
        <v>6224</v>
      </c>
      <c r="C114" s="6" t="s">
        <v>6225</v>
      </c>
      <c r="D114" s="6" t="s">
        <v>6226</v>
      </c>
      <c r="E114" s="28" t="s">
        <v>6227</v>
      </c>
      <c r="F114" s="19" t="s">
        <v>6228</v>
      </c>
      <c r="G114" s="28" t="s">
        <v>6229</v>
      </c>
      <c r="H114" s="6" t="s">
        <v>6230</v>
      </c>
      <c r="I114" s="224" t="s">
        <v>6231</v>
      </c>
      <c r="J114" s="224" t="s">
        <v>651</v>
      </c>
    </row>
    <row r="115" customFormat="false" ht="57.75" hidden="false" customHeight="true" outlineLevel="0" collapsed="false">
      <c r="A115" s="28" t="s">
        <v>6232</v>
      </c>
      <c r="B115" s="28" t="s">
        <v>6233</v>
      </c>
      <c r="C115" s="6" t="s">
        <v>6234</v>
      </c>
      <c r="D115" s="6" t="s">
        <v>6235</v>
      </c>
      <c r="E115" s="28" t="s">
        <v>6227</v>
      </c>
      <c r="F115" s="228" t="s">
        <v>6236</v>
      </c>
      <c r="G115" s="28" t="s">
        <v>6237</v>
      </c>
      <c r="H115" s="6" t="s">
        <v>6238</v>
      </c>
      <c r="I115" s="198" t="s">
        <v>6239</v>
      </c>
      <c r="J115" s="198" t="s">
        <v>651</v>
      </c>
    </row>
    <row r="116" customFormat="false" ht="213.75" hidden="false" customHeight="true" outlineLevel="0" collapsed="false">
      <c r="A116" s="28" t="s">
        <v>6240</v>
      </c>
      <c r="B116" s="28" t="s">
        <v>6233</v>
      </c>
      <c r="C116" s="6" t="s">
        <v>6241</v>
      </c>
      <c r="D116" s="6" t="s">
        <v>6242</v>
      </c>
      <c r="E116" s="28" t="s">
        <v>6227</v>
      </c>
      <c r="F116" s="228" t="s">
        <v>6236</v>
      </c>
      <c r="G116" s="28" t="s">
        <v>6237</v>
      </c>
      <c r="H116" s="6" t="s">
        <v>6243</v>
      </c>
      <c r="I116" s="198" t="s">
        <v>6244</v>
      </c>
      <c r="J116" s="198" t="s">
        <v>651</v>
      </c>
    </row>
    <row r="117" customFormat="false" ht="213.75" hidden="false" customHeight="true" outlineLevel="0" collapsed="false">
      <c r="A117" s="28" t="s">
        <v>6245</v>
      </c>
      <c r="B117" s="28" t="s">
        <v>6246</v>
      </c>
      <c r="C117" s="6" t="s">
        <v>6247</v>
      </c>
      <c r="D117" s="6" t="s">
        <v>6248</v>
      </c>
      <c r="E117" s="28" t="s">
        <v>3379</v>
      </c>
      <c r="F117" s="228" t="s">
        <v>6236</v>
      </c>
      <c r="G117" s="28" t="s">
        <v>6249</v>
      </c>
      <c r="H117" s="6" t="s">
        <v>6250</v>
      </c>
      <c r="I117" s="198" t="s">
        <v>6251</v>
      </c>
      <c r="J117" s="198" t="s">
        <v>651</v>
      </c>
    </row>
    <row r="118" customFormat="false" ht="54.75" hidden="false" customHeight="true" outlineLevel="0" collapsed="false">
      <c r="A118" s="28" t="s">
        <v>6252</v>
      </c>
      <c r="B118" s="28" t="s">
        <v>6253</v>
      </c>
      <c r="C118" s="6" t="s">
        <v>6254</v>
      </c>
      <c r="D118" s="6" t="s">
        <v>6255</v>
      </c>
      <c r="E118" s="28" t="s">
        <v>3379</v>
      </c>
      <c r="F118" s="6" t="s">
        <v>6256</v>
      </c>
      <c r="G118" s="28" t="s">
        <v>6257</v>
      </c>
      <c r="H118" s="6" t="s">
        <v>6258</v>
      </c>
      <c r="I118" s="198" t="s">
        <v>6259</v>
      </c>
      <c r="J118" s="198" t="s">
        <v>651</v>
      </c>
    </row>
    <row r="119" customFormat="false" ht="54.75" hidden="false" customHeight="true" outlineLevel="0" collapsed="false">
      <c r="A119" s="28" t="s">
        <v>6260</v>
      </c>
      <c r="B119" s="28" t="s">
        <v>6253</v>
      </c>
      <c r="C119" s="6" t="s">
        <v>6261</v>
      </c>
      <c r="D119" s="228" t="s">
        <v>6262</v>
      </c>
      <c r="E119" s="28" t="s">
        <v>3379</v>
      </c>
      <c r="F119" s="6" t="s">
        <v>6256</v>
      </c>
      <c r="G119" s="28" t="s">
        <v>6257</v>
      </c>
      <c r="H119" s="6" t="s">
        <v>6263</v>
      </c>
      <c r="I119" s="198" t="s">
        <v>6259</v>
      </c>
      <c r="J119" s="198" t="s">
        <v>651</v>
      </c>
    </row>
    <row r="120" customFormat="false" ht="72" hidden="false" customHeight="true" outlineLevel="0" collapsed="false">
      <c r="A120" s="28" t="s">
        <v>6264</v>
      </c>
      <c r="B120" s="28" t="s">
        <v>6253</v>
      </c>
      <c r="C120" s="6" t="s">
        <v>6265</v>
      </c>
      <c r="D120" s="6" t="s">
        <v>6266</v>
      </c>
      <c r="E120" s="28" t="s">
        <v>3379</v>
      </c>
      <c r="F120" s="6" t="s">
        <v>6256</v>
      </c>
      <c r="G120" s="28" t="s">
        <v>6257</v>
      </c>
      <c r="H120" s="6" t="s">
        <v>6267</v>
      </c>
      <c r="I120" s="198" t="s">
        <v>6259</v>
      </c>
      <c r="J120" s="198" t="s">
        <v>651</v>
      </c>
    </row>
    <row r="121" customFormat="false" ht="54.75" hidden="false" customHeight="true" outlineLevel="0" collapsed="false">
      <c r="A121" s="28" t="s">
        <v>6268</v>
      </c>
      <c r="B121" s="28" t="s">
        <v>6253</v>
      </c>
      <c r="C121" s="6" t="s">
        <v>6269</v>
      </c>
      <c r="D121" s="228" t="s">
        <v>6270</v>
      </c>
      <c r="E121" s="28" t="s">
        <v>3379</v>
      </c>
      <c r="F121" s="6" t="s">
        <v>6256</v>
      </c>
      <c r="G121" s="28" t="s">
        <v>6257</v>
      </c>
      <c r="H121" s="6" t="s">
        <v>6271</v>
      </c>
      <c r="I121" s="198" t="s">
        <v>6259</v>
      </c>
      <c r="J121" s="198" t="s">
        <v>651</v>
      </c>
    </row>
    <row r="122" customFormat="false" ht="54.75" hidden="false" customHeight="true" outlineLevel="0" collapsed="false">
      <c r="A122" s="28" t="s">
        <v>6272</v>
      </c>
      <c r="B122" s="28" t="s">
        <v>6253</v>
      </c>
      <c r="C122" s="6" t="s">
        <v>6273</v>
      </c>
      <c r="D122" s="6" t="s">
        <v>6274</v>
      </c>
      <c r="E122" s="28" t="s">
        <v>3379</v>
      </c>
      <c r="F122" s="6" t="s">
        <v>6256</v>
      </c>
      <c r="G122" s="28" t="s">
        <v>6257</v>
      </c>
      <c r="H122" s="6" t="s">
        <v>6275</v>
      </c>
      <c r="I122" s="198" t="s">
        <v>6259</v>
      </c>
      <c r="J122" s="198" t="s">
        <v>651</v>
      </c>
    </row>
    <row r="123" customFormat="false" ht="54.75" hidden="false" customHeight="true" outlineLevel="0" collapsed="false">
      <c r="A123" s="28" t="s">
        <v>6276</v>
      </c>
      <c r="B123" s="28" t="s">
        <v>6253</v>
      </c>
      <c r="C123" s="6" t="s">
        <v>6277</v>
      </c>
      <c r="D123" s="6" t="s">
        <v>6278</v>
      </c>
      <c r="E123" s="28" t="s">
        <v>3379</v>
      </c>
      <c r="F123" s="6" t="s">
        <v>6256</v>
      </c>
      <c r="G123" s="28" t="s">
        <v>6257</v>
      </c>
      <c r="H123" s="6" t="s">
        <v>6279</v>
      </c>
      <c r="I123" s="198" t="s">
        <v>6259</v>
      </c>
      <c r="J123" s="198" t="s">
        <v>651</v>
      </c>
    </row>
    <row r="124" customFormat="false" ht="54.75" hidden="false" customHeight="true" outlineLevel="0" collapsed="false">
      <c r="A124" s="28" t="s">
        <v>6280</v>
      </c>
      <c r="B124" s="28" t="s">
        <v>6253</v>
      </c>
      <c r="C124" s="6" t="s">
        <v>6281</v>
      </c>
      <c r="D124" s="228" t="s">
        <v>6282</v>
      </c>
      <c r="E124" s="28" t="s">
        <v>3379</v>
      </c>
      <c r="F124" s="6" t="s">
        <v>6256</v>
      </c>
      <c r="G124" s="28" t="s">
        <v>6257</v>
      </c>
      <c r="H124" s="6" t="s">
        <v>6283</v>
      </c>
      <c r="I124" s="198" t="s">
        <v>6259</v>
      </c>
      <c r="J124" s="198" t="s">
        <v>651</v>
      </c>
    </row>
    <row r="125" customFormat="false" ht="57.75" hidden="false" customHeight="true" outlineLevel="0" collapsed="false">
      <c r="A125" s="28" t="s">
        <v>6284</v>
      </c>
      <c r="B125" s="28" t="s">
        <v>6253</v>
      </c>
      <c r="C125" s="6" t="s">
        <v>6285</v>
      </c>
      <c r="D125" s="228" t="s">
        <v>6286</v>
      </c>
      <c r="E125" s="28" t="s">
        <v>3379</v>
      </c>
      <c r="F125" s="6" t="s">
        <v>6256</v>
      </c>
      <c r="G125" s="28" t="s">
        <v>6257</v>
      </c>
      <c r="H125" s="6" t="s">
        <v>6287</v>
      </c>
      <c r="I125" s="198" t="s">
        <v>6259</v>
      </c>
      <c r="J125" s="198" t="s">
        <v>651</v>
      </c>
    </row>
    <row r="126" customFormat="false" ht="54.75" hidden="false" customHeight="true" outlineLevel="0" collapsed="false">
      <c r="A126" s="28" t="s">
        <v>6288</v>
      </c>
      <c r="B126" s="28" t="s">
        <v>6253</v>
      </c>
      <c r="C126" s="6" t="s">
        <v>6289</v>
      </c>
      <c r="D126" s="6" t="s">
        <v>6290</v>
      </c>
      <c r="E126" s="28" t="s">
        <v>3379</v>
      </c>
      <c r="F126" s="6" t="s">
        <v>6256</v>
      </c>
      <c r="G126" s="28" t="s">
        <v>6257</v>
      </c>
      <c r="H126" s="6" t="s">
        <v>6291</v>
      </c>
      <c r="I126" s="198" t="s">
        <v>6259</v>
      </c>
      <c r="J126" s="198" t="s">
        <v>651</v>
      </c>
    </row>
    <row r="127" customFormat="false" ht="54.75" hidden="false" customHeight="true" outlineLevel="0" collapsed="false">
      <c r="A127" s="28" t="s">
        <v>6292</v>
      </c>
      <c r="B127" s="28" t="s">
        <v>6253</v>
      </c>
      <c r="C127" s="6" t="s">
        <v>6293</v>
      </c>
      <c r="D127" s="228" t="s">
        <v>6294</v>
      </c>
      <c r="E127" s="28" t="s">
        <v>3379</v>
      </c>
      <c r="F127" s="6" t="s">
        <v>6256</v>
      </c>
      <c r="G127" s="28" t="s">
        <v>6257</v>
      </c>
      <c r="H127" s="228" t="s">
        <v>6295</v>
      </c>
      <c r="I127" s="198" t="s">
        <v>6259</v>
      </c>
      <c r="J127" s="198" t="s">
        <v>651</v>
      </c>
    </row>
    <row r="128" customFormat="false" ht="114.75" hidden="false" customHeight="true" outlineLevel="0" collapsed="false">
      <c r="A128" s="28" t="s">
        <v>6296</v>
      </c>
      <c r="B128" s="28" t="s">
        <v>6253</v>
      </c>
      <c r="C128" s="6" t="s">
        <v>6297</v>
      </c>
      <c r="D128" s="228" t="s">
        <v>6298</v>
      </c>
      <c r="E128" s="28" t="s">
        <v>3379</v>
      </c>
      <c r="F128" s="6" t="s">
        <v>6299</v>
      </c>
      <c r="G128" s="28" t="s">
        <v>6257</v>
      </c>
      <c r="H128" s="6" t="s">
        <v>6300</v>
      </c>
      <c r="I128" s="198" t="s">
        <v>6259</v>
      </c>
      <c r="J128" s="198" t="s">
        <v>651</v>
      </c>
    </row>
    <row r="129" customFormat="false" ht="43.5" hidden="false" customHeight="true" outlineLevel="0" collapsed="false">
      <c r="A129" s="28" t="s">
        <v>6301</v>
      </c>
      <c r="B129" s="28" t="s">
        <v>6253</v>
      </c>
      <c r="C129" s="6" t="s">
        <v>6302</v>
      </c>
      <c r="D129" s="6" t="s">
        <v>6303</v>
      </c>
      <c r="E129" s="28" t="s">
        <v>3379</v>
      </c>
      <c r="F129" s="6" t="s">
        <v>6299</v>
      </c>
      <c r="G129" s="28" t="s">
        <v>6257</v>
      </c>
      <c r="H129" s="6" t="s">
        <v>6304</v>
      </c>
      <c r="I129" s="198" t="s">
        <v>6259</v>
      </c>
      <c r="J129" s="198" t="s">
        <v>651</v>
      </c>
    </row>
    <row r="130" customFormat="false" ht="69" hidden="false" customHeight="true" outlineLevel="0" collapsed="false">
      <c r="A130" s="28" t="s">
        <v>5540</v>
      </c>
      <c r="B130" s="28" t="s">
        <v>6253</v>
      </c>
      <c r="C130" s="6" t="s">
        <v>6305</v>
      </c>
      <c r="D130" s="6" t="s">
        <v>6306</v>
      </c>
      <c r="E130" s="28" t="s">
        <v>3379</v>
      </c>
      <c r="F130" s="6" t="s">
        <v>6299</v>
      </c>
      <c r="G130" s="28" t="s">
        <v>6307</v>
      </c>
      <c r="H130" s="6" t="s">
        <v>6308</v>
      </c>
      <c r="I130" s="198" t="s">
        <v>6259</v>
      </c>
      <c r="J130" s="198" t="s">
        <v>651</v>
      </c>
    </row>
    <row r="131" customFormat="false" ht="54.75" hidden="false" customHeight="true" outlineLevel="0" collapsed="false">
      <c r="A131" s="28" t="s">
        <v>4674</v>
      </c>
      <c r="B131" s="28" t="s">
        <v>6253</v>
      </c>
      <c r="C131" s="6" t="s">
        <v>6309</v>
      </c>
      <c r="D131" s="6" t="s">
        <v>6310</v>
      </c>
      <c r="E131" s="28" t="s">
        <v>3379</v>
      </c>
      <c r="F131" s="6" t="s">
        <v>6256</v>
      </c>
      <c r="G131" s="28" t="s">
        <v>6257</v>
      </c>
      <c r="H131" s="6" t="s">
        <v>6311</v>
      </c>
      <c r="I131" s="198" t="s">
        <v>6312</v>
      </c>
      <c r="J131" s="198" t="s">
        <v>651</v>
      </c>
    </row>
    <row r="132" customFormat="false" ht="86.25" hidden="false" customHeight="true" outlineLevel="0" collapsed="false">
      <c r="A132" s="28" t="s">
        <v>6313</v>
      </c>
      <c r="B132" s="28" t="s">
        <v>6314</v>
      </c>
      <c r="C132" s="6" t="s">
        <v>6315</v>
      </c>
      <c r="D132" s="6" t="s">
        <v>6316</v>
      </c>
      <c r="E132" s="28" t="s">
        <v>3379</v>
      </c>
      <c r="F132" s="6" t="s">
        <v>6317</v>
      </c>
      <c r="G132" s="28" t="s">
        <v>6318</v>
      </c>
      <c r="H132" s="6" t="s">
        <v>6319</v>
      </c>
      <c r="I132" s="198" t="s">
        <v>6320</v>
      </c>
      <c r="J132" s="198" t="s">
        <v>651</v>
      </c>
    </row>
    <row r="133" customFormat="false" ht="57.75" hidden="false" customHeight="true" outlineLevel="0" collapsed="false">
      <c r="A133" s="28" t="s">
        <v>6321</v>
      </c>
      <c r="B133" s="28" t="s">
        <v>6314</v>
      </c>
      <c r="C133" s="6" t="s">
        <v>6322</v>
      </c>
      <c r="D133" s="6" t="s">
        <v>6323</v>
      </c>
      <c r="E133" s="28" t="s">
        <v>3379</v>
      </c>
      <c r="F133" s="6" t="s">
        <v>6317</v>
      </c>
      <c r="G133" s="28" t="s">
        <v>6318</v>
      </c>
      <c r="H133" s="6" t="s">
        <v>6324</v>
      </c>
      <c r="I133" s="198" t="s">
        <v>6325</v>
      </c>
      <c r="J133" s="198" t="s">
        <v>651</v>
      </c>
    </row>
    <row r="134" customFormat="false" ht="57.75" hidden="false" customHeight="true" outlineLevel="0" collapsed="false">
      <c r="A134" s="28" t="s">
        <v>6326</v>
      </c>
      <c r="B134" s="28" t="s">
        <v>6314</v>
      </c>
      <c r="C134" s="6" t="s">
        <v>6327</v>
      </c>
      <c r="D134" s="6" t="s">
        <v>6328</v>
      </c>
      <c r="E134" s="28" t="s">
        <v>3379</v>
      </c>
      <c r="F134" s="6" t="s">
        <v>6317</v>
      </c>
      <c r="G134" s="28" t="s">
        <v>6318</v>
      </c>
      <c r="H134" s="6" t="s">
        <v>6329</v>
      </c>
      <c r="I134" s="198" t="s">
        <v>6330</v>
      </c>
      <c r="J134" s="198" t="s">
        <v>651</v>
      </c>
    </row>
    <row r="135" customFormat="false" ht="72" hidden="false" customHeight="true" outlineLevel="0" collapsed="false">
      <c r="A135" s="28" t="s">
        <v>4112</v>
      </c>
      <c r="B135" s="28" t="s">
        <v>6331</v>
      </c>
      <c r="C135" s="6" t="s">
        <v>6332</v>
      </c>
      <c r="D135" s="6" t="s">
        <v>6333</v>
      </c>
      <c r="E135" s="28" t="s">
        <v>3379</v>
      </c>
      <c r="F135" s="6" t="s">
        <v>6334</v>
      </c>
      <c r="G135" s="28" t="s">
        <v>6335</v>
      </c>
      <c r="H135" s="6" t="s">
        <v>6336</v>
      </c>
      <c r="I135" s="198" t="s">
        <v>6337</v>
      </c>
      <c r="J135" s="198" t="s">
        <v>651</v>
      </c>
    </row>
    <row r="136" customFormat="false" ht="72" hidden="false" customHeight="true" outlineLevel="0" collapsed="false">
      <c r="A136" s="28" t="s">
        <v>3975</v>
      </c>
      <c r="B136" s="28" t="s">
        <v>6331</v>
      </c>
      <c r="C136" s="6" t="s">
        <v>6338</v>
      </c>
      <c r="D136" s="6" t="s">
        <v>6339</v>
      </c>
      <c r="E136" s="28" t="s">
        <v>3379</v>
      </c>
      <c r="F136" s="6" t="s">
        <v>6334</v>
      </c>
      <c r="G136" s="28" t="s">
        <v>6335</v>
      </c>
      <c r="H136" s="6" t="s">
        <v>6340</v>
      </c>
      <c r="I136" s="198" t="s">
        <v>6341</v>
      </c>
      <c r="J136" s="198" t="s">
        <v>651</v>
      </c>
    </row>
    <row r="137" customFormat="false" ht="43.5" hidden="false" customHeight="true" outlineLevel="0" collapsed="false">
      <c r="A137" s="28" t="s">
        <v>5561</v>
      </c>
      <c r="B137" s="28" t="s">
        <v>6331</v>
      </c>
      <c r="C137" s="6" t="s">
        <v>6342</v>
      </c>
      <c r="D137" s="6" t="s">
        <v>6343</v>
      </c>
      <c r="E137" s="28" t="s">
        <v>3379</v>
      </c>
      <c r="F137" s="6" t="s">
        <v>6334</v>
      </c>
      <c r="G137" s="28" t="s">
        <v>6335</v>
      </c>
      <c r="H137" s="6" t="s">
        <v>6344</v>
      </c>
      <c r="I137" s="198" t="s">
        <v>6341</v>
      </c>
      <c r="J137" s="198" t="s">
        <v>651</v>
      </c>
    </row>
    <row r="138" customFormat="false" ht="57.75" hidden="false" customHeight="true" outlineLevel="0" collapsed="false">
      <c r="A138" s="28" t="s">
        <v>6345</v>
      </c>
      <c r="B138" s="28" t="s">
        <v>6331</v>
      </c>
      <c r="C138" s="6" t="s">
        <v>6346</v>
      </c>
      <c r="D138" s="6" t="s">
        <v>6347</v>
      </c>
      <c r="E138" s="28" t="s">
        <v>3379</v>
      </c>
      <c r="F138" s="6" t="s">
        <v>6334</v>
      </c>
      <c r="G138" s="28" t="s">
        <v>6335</v>
      </c>
      <c r="H138" s="6" t="s">
        <v>6348</v>
      </c>
      <c r="I138" s="198" t="s">
        <v>6349</v>
      </c>
      <c r="J138" s="198" t="s">
        <v>651</v>
      </c>
    </row>
    <row r="139" customFormat="false" ht="57.75" hidden="false" customHeight="true" outlineLevel="0" collapsed="false">
      <c r="A139" s="28" t="s">
        <v>6350</v>
      </c>
      <c r="B139" s="28" t="s">
        <v>6331</v>
      </c>
      <c r="C139" s="6" t="s">
        <v>6351</v>
      </c>
      <c r="D139" s="228" t="s">
        <v>6352</v>
      </c>
      <c r="E139" s="28" t="s">
        <v>3379</v>
      </c>
      <c r="F139" s="6" t="s">
        <v>6334</v>
      </c>
      <c r="G139" s="28" t="s">
        <v>6335</v>
      </c>
      <c r="H139" s="6" t="s">
        <v>6353</v>
      </c>
      <c r="I139" s="198" t="s">
        <v>6354</v>
      </c>
      <c r="J139" s="198" t="s">
        <v>651</v>
      </c>
    </row>
    <row r="140" customFormat="false" ht="143.25" hidden="false" customHeight="true" outlineLevel="0" collapsed="false">
      <c r="A140" s="28" t="s">
        <v>5590</v>
      </c>
      <c r="B140" s="28" t="s">
        <v>6355</v>
      </c>
      <c r="C140" s="6" t="s">
        <v>6356</v>
      </c>
      <c r="D140" s="6" t="s">
        <v>6357</v>
      </c>
      <c r="E140" s="28" t="s">
        <v>6358</v>
      </c>
      <c r="F140" s="6" t="s">
        <v>6359</v>
      </c>
      <c r="G140" s="28" t="s">
        <v>6360</v>
      </c>
      <c r="H140" s="6" t="s">
        <v>6361</v>
      </c>
      <c r="I140" s="198" t="s">
        <v>6362</v>
      </c>
      <c r="J140" s="198" t="s">
        <v>651</v>
      </c>
    </row>
    <row r="141" customFormat="false" ht="143.25" hidden="false" customHeight="true" outlineLevel="0" collapsed="false">
      <c r="A141" s="28" t="s">
        <v>6363</v>
      </c>
      <c r="B141" s="28" t="s">
        <v>6355</v>
      </c>
      <c r="C141" s="6" t="s">
        <v>6364</v>
      </c>
      <c r="D141" s="228" t="s">
        <v>6365</v>
      </c>
      <c r="E141" s="28" t="s">
        <v>6358</v>
      </c>
      <c r="F141" s="6" t="s">
        <v>6359</v>
      </c>
      <c r="G141" s="28" t="s">
        <v>6360</v>
      </c>
      <c r="H141" s="6" t="s">
        <v>6366</v>
      </c>
      <c r="I141" s="198" t="s">
        <v>6367</v>
      </c>
      <c r="J141" s="198" t="s">
        <v>651</v>
      </c>
    </row>
    <row r="142" customFormat="false" ht="143.25" hidden="false" customHeight="true" outlineLevel="0" collapsed="false">
      <c r="A142" s="28" t="s">
        <v>6368</v>
      </c>
      <c r="B142" s="28" t="s">
        <v>6355</v>
      </c>
      <c r="C142" s="6" t="s">
        <v>6369</v>
      </c>
      <c r="D142" s="6" t="s">
        <v>6370</v>
      </c>
      <c r="E142" s="28" t="s">
        <v>6358</v>
      </c>
      <c r="F142" s="6" t="s">
        <v>6359</v>
      </c>
      <c r="G142" s="28" t="s">
        <v>6360</v>
      </c>
      <c r="H142" s="6" t="s">
        <v>6371</v>
      </c>
      <c r="I142" s="198" t="s">
        <v>6372</v>
      </c>
      <c r="J142" s="198" t="s">
        <v>651</v>
      </c>
    </row>
    <row r="143" customFormat="false" ht="143.25" hidden="false" customHeight="true" outlineLevel="0" collapsed="false">
      <c r="A143" s="28" t="s">
        <v>6373</v>
      </c>
      <c r="B143" s="28" t="s">
        <v>6355</v>
      </c>
      <c r="C143" s="6" t="s">
        <v>6374</v>
      </c>
      <c r="D143" s="228" t="s">
        <v>6375</v>
      </c>
      <c r="E143" s="28" t="s">
        <v>6358</v>
      </c>
      <c r="F143" s="6" t="s">
        <v>6359</v>
      </c>
      <c r="G143" s="28" t="s">
        <v>6360</v>
      </c>
      <c r="H143" s="228" t="s">
        <v>6376</v>
      </c>
      <c r="I143" s="198" t="s">
        <v>6377</v>
      </c>
      <c r="J143" s="198" t="s">
        <v>651</v>
      </c>
    </row>
    <row r="144" customFormat="false" ht="143.25" hidden="false" customHeight="true" outlineLevel="0" collapsed="false">
      <c r="A144" s="28" t="s">
        <v>6378</v>
      </c>
      <c r="B144" s="28" t="s">
        <v>6355</v>
      </c>
      <c r="C144" s="6" t="s">
        <v>6379</v>
      </c>
      <c r="D144" s="228" t="s">
        <v>6380</v>
      </c>
      <c r="E144" s="28" t="s">
        <v>6358</v>
      </c>
      <c r="F144" s="6" t="s">
        <v>6359</v>
      </c>
      <c r="G144" s="28" t="s">
        <v>6360</v>
      </c>
      <c r="H144" s="6" t="s">
        <v>6381</v>
      </c>
      <c r="I144" s="198" t="s">
        <v>6367</v>
      </c>
      <c r="J144" s="198" t="s">
        <v>651</v>
      </c>
    </row>
    <row r="145" customFormat="false" ht="143.25" hidden="false" customHeight="true" outlineLevel="0" collapsed="false">
      <c r="A145" s="28" t="s">
        <v>6382</v>
      </c>
      <c r="B145" s="28" t="s">
        <v>6355</v>
      </c>
      <c r="C145" s="6" t="s">
        <v>6383</v>
      </c>
      <c r="D145" s="6" t="s">
        <v>6384</v>
      </c>
      <c r="E145" s="28" t="s">
        <v>6358</v>
      </c>
      <c r="F145" s="6" t="s">
        <v>6359</v>
      </c>
      <c r="G145" s="28" t="s">
        <v>6360</v>
      </c>
      <c r="H145" s="6" t="s">
        <v>6385</v>
      </c>
      <c r="I145" s="198" t="s">
        <v>6386</v>
      </c>
      <c r="J145" s="198" t="s">
        <v>651</v>
      </c>
    </row>
    <row r="146" customFormat="false" ht="143.25" hidden="false" customHeight="true" outlineLevel="0" collapsed="false">
      <c r="A146" s="28" t="s">
        <v>6387</v>
      </c>
      <c r="B146" s="28" t="s">
        <v>6388</v>
      </c>
      <c r="C146" s="6" t="s">
        <v>6389</v>
      </c>
      <c r="D146" s="228" t="s">
        <v>6390</v>
      </c>
      <c r="E146" s="28" t="s">
        <v>6391</v>
      </c>
      <c r="F146" s="6" t="s">
        <v>6392</v>
      </c>
      <c r="G146" s="28" t="s">
        <v>6393</v>
      </c>
      <c r="H146" s="6" t="s">
        <v>6394</v>
      </c>
      <c r="I146" s="198" t="s">
        <v>6395</v>
      </c>
      <c r="J146" s="198" t="s">
        <v>651</v>
      </c>
    </row>
    <row r="147" customFormat="false" ht="143.25" hidden="false" customHeight="true" outlineLevel="0" collapsed="false">
      <c r="A147" s="28" t="s">
        <v>6396</v>
      </c>
      <c r="B147" s="28" t="s">
        <v>6388</v>
      </c>
      <c r="C147" s="6" t="s">
        <v>6397</v>
      </c>
      <c r="D147" s="6" t="s">
        <v>6398</v>
      </c>
      <c r="E147" s="28" t="s">
        <v>6391</v>
      </c>
      <c r="F147" s="6" t="s">
        <v>6392</v>
      </c>
      <c r="G147" s="28" t="s">
        <v>6393</v>
      </c>
      <c r="H147" s="6" t="s">
        <v>6399</v>
      </c>
      <c r="I147" s="198" t="s">
        <v>6400</v>
      </c>
      <c r="J147" s="198" t="s">
        <v>651</v>
      </c>
    </row>
    <row r="148" customFormat="false" ht="143.25" hidden="false" customHeight="true" outlineLevel="0" collapsed="false">
      <c r="A148" s="28" t="s">
        <v>6401</v>
      </c>
      <c r="B148" s="28" t="s">
        <v>6388</v>
      </c>
      <c r="C148" s="6" t="s">
        <v>6402</v>
      </c>
      <c r="D148" s="6" t="s">
        <v>6403</v>
      </c>
      <c r="E148" s="28" t="s">
        <v>6391</v>
      </c>
      <c r="F148" s="6" t="s">
        <v>6392</v>
      </c>
      <c r="G148" s="28" t="s">
        <v>6393</v>
      </c>
      <c r="H148" s="6" t="s">
        <v>6404</v>
      </c>
      <c r="I148" s="198" t="s">
        <v>6400</v>
      </c>
      <c r="J148" s="198" t="s">
        <v>651</v>
      </c>
    </row>
    <row r="149" customFormat="false" ht="143.25" hidden="false" customHeight="true" outlineLevel="0" collapsed="false">
      <c r="A149" s="28" t="s">
        <v>6405</v>
      </c>
      <c r="B149" s="28" t="s">
        <v>6388</v>
      </c>
      <c r="C149" s="6" t="s">
        <v>6406</v>
      </c>
      <c r="D149" s="6" t="s">
        <v>6407</v>
      </c>
      <c r="E149" s="28" t="s">
        <v>6391</v>
      </c>
      <c r="F149" s="6" t="s">
        <v>6392</v>
      </c>
      <c r="G149" s="28" t="s">
        <v>6393</v>
      </c>
      <c r="H149" s="6" t="s">
        <v>6408</v>
      </c>
      <c r="I149" s="198" t="s">
        <v>6409</v>
      </c>
      <c r="J149" s="198" t="s">
        <v>651</v>
      </c>
    </row>
    <row r="150" customFormat="false" ht="143.25" hidden="false" customHeight="true" outlineLevel="0" collapsed="false">
      <c r="A150" s="28" t="s">
        <v>5610</v>
      </c>
      <c r="B150" s="28" t="s">
        <v>6388</v>
      </c>
      <c r="C150" s="6" t="s">
        <v>6410</v>
      </c>
      <c r="D150" s="228" t="s">
        <v>6411</v>
      </c>
      <c r="E150" s="28" t="s">
        <v>6391</v>
      </c>
      <c r="F150" s="6" t="s">
        <v>6392</v>
      </c>
      <c r="G150" s="28" t="s">
        <v>6393</v>
      </c>
      <c r="H150" s="6" t="s">
        <v>6412</v>
      </c>
      <c r="I150" s="198" t="s">
        <v>6413</v>
      </c>
      <c r="J150" s="198" t="s">
        <v>651</v>
      </c>
    </row>
    <row r="151" customFormat="false" ht="143.25" hidden="false" customHeight="true" outlineLevel="0" collapsed="false">
      <c r="A151" s="28" t="s">
        <v>6414</v>
      </c>
      <c r="B151" s="28" t="s">
        <v>6388</v>
      </c>
      <c r="C151" s="6" t="s">
        <v>6415</v>
      </c>
      <c r="D151" s="228" t="s">
        <v>6416</v>
      </c>
      <c r="E151" s="28" t="s">
        <v>6391</v>
      </c>
      <c r="F151" s="6" t="s">
        <v>6392</v>
      </c>
      <c r="G151" s="28" t="s">
        <v>6393</v>
      </c>
      <c r="H151" s="6" t="s">
        <v>6417</v>
      </c>
      <c r="I151" s="198" t="s">
        <v>6409</v>
      </c>
      <c r="J151" s="198" t="s">
        <v>651</v>
      </c>
    </row>
    <row r="152" customFormat="false" ht="143.25" hidden="false" customHeight="true" outlineLevel="0" collapsed="false">
      <c r="A152" s="28" t="s">
        <v>6418</v>
      </c>
      <c r="B152" s="28" t="s">
        <v>6388</v>
      </c>
      <c r="C152" s="6" t="s">
        <v>6419</v>
      </c>
      <c r="D152" s="6" t="s">
        <v>6420</v>
      </c>
      <c r="E152" s="28" t="s">
        <v>6391</v>
      </c>
      <c r="F152" s="6" t="s">
        <v>6392</v>
      </c>
      <c r="G152" s="28" t="s">
        <v>6393</v>
      </c>
      <c r="H152" s="6" t="s">
        <v>6421</v>
      </c>
      <c r="I152" s="198" t="s">
        <v>6409</v>
      </c>
      <c r="J152" s="198" t="s">
        <v>651</v>
      </c>
    </row>
    <row r="153" customFormat="false" ht="143.25" hidden="false" customHeight="true" outlineLevel="0" collapsed="false">
      <c r="A153" s="28" t="s">
        <v>6422</v>
      </c>
      <c r="B153" s="28" t="s">
        <v>6388</v>
      </c>
      <c r="C153" s="6" t="s">
        <v>6423</v>
      </c>
      <c r="D153" s="6" t="s">
        <v>6424</v>
      </c>
      <c r="E153" s="28" t="s">
        <v>6391</v>
      </c>
      <c r="F153" s="6" t="s">
        <v>6392</v>
      </c>
      <c r="G153" s="28" t="s">
        <v>6393</v>
      </c>
      <c r="H153" s="6" t="s">
        <v>6425</v>
      </c>
      <c r="I153" s="198" t="s">
        <v>6426</v>
      </c>
      <c r="J153" s="198" t="s">
        <v>651</v>
      </c>
    </row>
    <row r="154" customFormat="false" ht="199.5" hidden="false" customHeight="true" outlineLevel="0" collapsed="false">
      <c r="A154" s="28" t="s">
        <v>6427</v>
      </c>
      <c r="B154" s="28" t="s">
        <v>6428</v>
      </c>
      <c r="C154" s="6" t="s">
        <v>6429</v>
      </c>
      <c r="D154" s="6" t="s">
        <v>6430</v>
      </c>
      <c r="E154" s="28" t="s">
        <v>6431</v>
      </c>
      <c r="F154" s="6" t="s">
        <v>6432</v>
      </c>
      <c r="G154" s="28" t="s">
        <v>6433</v>
      </c>
      <c r="H154" s="6" t="s">
        <v>6434</v>
      </c>
      <c r="I154" s="198" t="s">
        <v>6435</v>
      </c>
      <c r="J154" s="198" t="s">
        <v>651</v>
      </c>
    </row>
    <row r="155" customFormat="false" ht="199.5" hidden="false" customHeight="true" outlineLevel="0" collapsed="false">
      <c r="A155" s="28" t="s">
        <v>6436</v>
      </c>
      <c r="B155" s="28" t="s">
        <v>6428</v>
      </c>
      <c r="C155" s="6" t="s">
        <v>6437</v>
      </c>
      <c r="D155" s="228" t="s">
        <v>6438</v>
      </c>
      <c r="E155" s="28" t="s">
        <v>6431</v>
      </c>
      <c r="F155" s="6" t="s">
        <v>6432</v>
      </c>
      <c r="G155" s="28" t="s">
        <v>6433</v>
      </c>
      <c r="H155" s="6" t="s">
        <v>6439</v>
      </c>
      <c r="I155" s="198" t="s">
        <v>6440</v>
      </c>
      <c r="J155" s="198" t="s">
        <v>651</v>
      </c>
    </row>
    <row r="156" customFormat="false" ht="199.5" hidden="false" customHeight="true" outlineLevel="0" collapsed="false">
      <c r="A156" s="28" t="s">
        <v>5646</v>
      </c>
      <c r="B156" s="28" t="s">
        <v>6428</v>
      </c>
      <c r="C156" s="6" t="s">
        <v>6441</v>
      </c>
      <c r="D156" s="6" t="s">
        <v>6442</v>
      </c>
      <c r="E156" s="28" t="s">
        <v>6431</v>
      </c>
      <c r="F156" s="6" t="s">
        <v>6432</v>
      </c>
      <c r="G156" s="28" t="s">
        <v>6433</v>
      </c>
      <c r="H156" s="6" t="s">
        <v>6443</v>
      </c>
      <c r="I156" s="198" t="s">
        <v>6444</v>
      </c>
      <c r="J156" s="198" t="s">
        <v>651</v>
      </c>
    </row>
    <row r="157" customFormat="false" ht="199.5" hidden="false" customHeight="true" outlineLevel="0" collapsed="false">
      <c r="A157" s="28" t="s">
        <v>5621</v>
      </c>
      <c r="B157" s="28" t="s">
        <v>6428</v>
      </c>
      <c r="C157" s="6" t="s">
        <v>6445</v>
      </c>
      <c r="D157" s="6" t="s">
        <v>6446</v>
      </c>
      <c r="E157" s="28" t="s">
        <v>6431</v>
      </c>
      <c r="F157" s="6" t="s">
        <v>6432</v>
      </c>
      <c r="G157" s="28" t="s">
        <v>6433</v>
      </c>
      <c r="H157" s="6" t="s">
        <v>6447</v>
      </c>
      <c r="I157" s="198" t="s">
        <v>6448</v>
      </c>
      <c r="J157" s="198" t="s">
        <v>651</v>
      </c>
    </row>
    <row r="158" customFormat="false" ht="199.5" hidden="false" customHeight="true" outlineLevel="0" collapsed="false">
      <c r="A158" s="28" t="s">
        <v>5630</v>
      </c>
      <c r="B158" s="28" t="s">
        <v>6428</v>
      </c>
      <c r="C158" s="6" t="s">
        <v>6449</v>
      </c>
      <c r="D158" s="228" t="s">
        <v>6450</v>
      </c>
      <c r="E158" s="28" t="s">
        <v>6431</v>
      </c>
      <c r="F158" s="6" t="s">
        <v>6432</v>
      </c>
      <c r="G158" s="28" t="s">
        <v>6433</v>
      </c>
      <c r="H158" s="6" t="s">
        <v>6451</v>
      </c>
      <c r="I158" s="198" t="s">
        <v>6452</v>
      </c>
      <c r="J158" s="198" t="s">
        <v>651</v>
      </c>
    </row>
    <row r="159" customFormat="false" ht="199.5" hidden="false" customHeight="true" outlineLevel="0" collapsed="false">
      <c r="A159" s="28" t="s">
        <v>6453</v>
      </c>
      <c r="B159" s="28" t="s">
        <v>6428</v>
      </c>
      <c r="C159" s="6" t="s">
        <v>6454</v>
      </c>
      <c r="D159" s="228" t="s">
        <v>6455</v>
      </c>
      <c r="E159" s="28" t="s">
        <v>6431</v>
      </c>
      <c r="F159" s="6" t="s">
        <v>6432</v>
      </c>
      <c r="G159" s="28" t="s">
        <v>6433</v>
      </c>
      <c r="H159" s="6" t="s">
        <v>6456</v>
      </c>
      <c r="I159" s="198" t="s">
        <v>6457</v>
      </c>
      <c r="J159" s="198" t="s">
        <v>651</v>
      </c>
    </row>
    <row r="160" customFormat="false" ht="199.5" hidden="false" customHeight="true" outlineLevel="0" collapsed="false">
      <c r="A160" s="28" t="s">
        <v>6458</v>
      </c>
      <c r="B160" s="28" t="s">
        <v>6428</v>
      </c>
      <c r="C160" s="6" t="s">
        <v>6459</v>
      </c>
      <c r="D160" s="228" t="s">
        <v>6460</v>
      </c>
      <c r="E160" s="28" t="s">
        <v>6431</v>
      </c>
      <c r="F160" s="6" t="s">
        <v>6432</v>
      </c>
      <c r="G160" s="28" t="s">
        <v>6433</v>
      </c>
      <c r="H160" s="6" t="s">
        <v>6461</v>
      </c>
      <c r="I160" s="198" t="s">
        <v>6452</v>
      </c>
      <c r="J160" s="198" t="s">
        <v>651</v>
      </c>
    </row>
    <row r="161" customFormat="false" ht="129" hidden="false" customHeight="true" outlineLevel="0" collapsed="false">
      <c r="A161" s="28" t="s">
        <v>5714</v>
      </c>
      <c r="B161" s="28" t="s">
        <v>6462</v>
      </c>
      <c r="C161" s="6" t="s">
        <v>6463</v>
      </c>
      <c r="D161" s="228" t="s">
        <v>6464</v>
      </c>
      <c r="E161" s="28" t="s">
        <v>6431</v>
      </c>
      <c r="F161" s="6" t="s">
        <v>6465</v>
      </c>
      <c r="G161" s="28" t="s">
        <v>6466</v>
      </c>
      <c r="H161" s="6" t="s">
        <v>6467</v>
      </c>
      <c r="I161" s="198" t="s">
        <v>6468</v>
      </c>
      <c r="J161" s="198" t="s">
        <v>651</v>
      </c>
    </row>
    <row r="162" customFormat="false" ht="129" hidden="false" customHeight="true" outlineLevel="0" collapsed="false">
      <c r="A162" s="28" t="s">
        <v>5742</v>
      </c>
      <c r="B162" s="28" t="s">
        <v>6462</v>
      </c>
      <c r="C162" s="6" t="s">
        <v>6469</v>
      </c>
      <c r="D162" s="6" t="s">
        <v>6470</v>
      </c>
      <c r="E162" s="28" t="s">
        <v>6431</v>
      </c>
      <c r="F162" s="6" t="s">
        <v>6465</v>
      </c>
      <c r="G162" s="28" t="s">
        <v>6466</v>
      </c>
      <c r="H162" s="6" t="s">
        <v>6471</v>
      </c>
      <c r="I162" s="198" t="s">
        <v>6472</v>
      </c>
      <c r="J162" s="198" t="s">
        <v>651</v>
      </c>
    </row>
    <row r="163" customFormat="false" ht="143.25" hidden="false" customHeight="true" outlineLevel="0" collapsed="false">
      <c r="A163" s="28" t="s">
        <v>6473</v>
      </c>
      <c r="B163" s="28" t="s">
        <v>6462</v>
      </c>
      <c r="C163" s="6" t="s">
        <v>6474</v>
      </c>
      <c r="D163" s="6" t="s">
        <v>6475</v>
      </c>
      <c r="E163" s="28" t="s">
        <v>6431</v>
      </c>
      <c r="F163" s="6" t="s">
        <v>6465</v>
      </c>
      <c r="G163" s="28" t="s">
        <v>6466</v>
      </c>
      <c r="H163" s="6" t="s">
        <v>6476</v>
      </c>
      <c r="I163" s="198" t="s">
        <v>6477</v>
      </c>
      <c r="J163" s="198" t="s">
        <v>651</v>
      </c>
    </row>
    <row r="164" customFormat="false" ht="143.25" hidden="false" customHeight="true" outlineLevel="0" collapsed="false">
      <c r="A164" s="28" t="s">
        <v>6478</v>
      </c>
      <c r="B164" s="28" t="s">
        <v>6479</v>
      </c>
      <c r="C164" s="6" t="s">
        <v>6480</v>
      </c>
      <c r="D164" s="228" t="s">
        <v>6481</v>
      </c>
      <c r="E164" s="28" t="s">
        <v>6482</v>
      </c>
      <c r="F164" s="6" t="s">
        <v>6483</v>
      </c>
      <c r="G164" s="28" t="s">
        <v>6484</v>
      </c>
      <c r="H164" s="6" t="s">
        <v>6485</v>
      </c>
      <c r="I164" s="198" t="s">
        <v>6486</v>
      </c>
      <c r="J164" s="198" t="s">
        <v>651</v>
      </c>
    </row>
    <row r="165" customFormat="false" ht="129" hidden="false" customHeight="true" outlineLevel="0" collapsed="false">
      <c r="A165" s="28" t="s">
        <v>6487</v>
      </c>
      <c r="B165" s="28" t="s">
        <v>6479</v>
      </c>
      <c r="C165" s="6" t="s">
        <v>6488</v>
      </c>
      <c r="D165" s="6" t="s">
        <v>6489</v>
      </c>
      <c r="E165" s="28" t="s">
        <v>6482</v>
      </c>
      <c r="F165" s="6" t="s">
        <v>6483</v>
      </c>
      <c r="G165" s="28" t="s">
        <v>6484</v>
      </c>
      <c r="H165" s="6" t="s">
        <v>6490</v>
      </c>
      <c r="I165" s="198" t="s">
        <v>6491</v>
      </c>
      <c r="J165" s="198" t="s">
        <v>651</v>
      </c>
    </row>
    <row r="166" customFormat="false" ht="129" hidden="false" customHeight="true" outlineLevel="0" collapsed="false">
      <c r="A166" s="28" t="s">
        <v>5758</v>
      </c>
      <c r="B166" s="28" t="s">
        <v>6479</v>
      </c>
      <c r="C166" s="6" t="s">
        <v>6492</v>
      </c>
      <c r="D166" s="6" t="s">
        <v>6493</v>
      </c>
      <c r="E166" s="28" t="s">
        <v>6482</v>
      </c>
      <c r="F166" s="6" t="s">
        <v>6483</v>
      </c>
      <c r="G166" s="28" t="s">
        <v>6484</v>
      </c>
      <c r="H166" s="6" t="s">
        <v>6494</v>
      </c>
      <c r="I166" s="198" t="s">
        <v>6495</v>
      </c>
      <c r="J166" s="198" t="s">
        <v>651</v>
      </c>
    </row>
    <row r="167" customFormat="false" ht="100.5" hidden="false" customHeight="true" outlineLevel="0" collapsed="false">
      <c r="A167" s="28" t="s">
        <v>6496</v>
      </c>
      <c r="B167" s="28" t="s">
        <v>6497</v>
      </c>
      <c r="C167" s="228" t="s">
        <v>6498</v>
      </c>
      <c r="D167" s="6" t="s">
        <v>6499</v>
      </c>
      <c r="E167" s="28" t="s">
        <v>6482</v>
      </c>
      <c r="F167" s="6" t="s">
        <v>6500</v>
      </c>
      <c r="G167" s="28" t="s">
        <v>6501</v>
      </c>
      <c r="H167" s="6" t="s">
        <v>6502</v>
      </c>
      <c r="I167" s="198" t="s">
        <v>6503</v>
      </c>
      <c r="J167" s="198" t="s">
        <v>651</v>
      </c>
    </row>
    <row r="168" customFormat="false" ht="129" hidden="false" customHeight="true" outlineLevel="0" collapsed="false">
      <c r="A168" s="28" t="s">
        <v>6504</v>
      </c>
      <c r="B168" s="28" t="s">
        <v>6497</v>
      </c>
      <c r="C168" s="228" t="s">
        <v>6505</v>
      </c>
      <c r="D168" s="6" t="s">
        <v>6506</v>
      </c>
      <c r="E168" s="28" t="s">
        <v>6482</v>
      </c>
      <c r="F168" s="6" t="s">
        <v>6500</v>
      </c>
      <c r="G168" s="28" t="s">
        <v>6507</v>
      </c>
      <c r="H168" s="6" t="s">
        <v>6508</v>
      </c>
      <c r="I168" s="198" t="s">
        <v>6509</v>
      </c>
      <c r="J168" s="198" t="s">
        <v>651</v>
      </c>
    </row>
    <row r="169" customFormat="false" ht="57.75" hidden="false" customHeight="true" outlineLevel="0" collapsed="false">
      <c r="A169" s="28" t="s">
        <v>6510</v>
      </c>
      <c r="B169" s="28" t="s">
        <v>6497</v>
      </c>
      <c r="C169" s="228" t="s">
        <v>6511</v>
      </c>
      <c r="D169" s="6" t="s">
        <v>6512</v>
      </c>
      <c r="E169" s="28" t="s">
        <v>6482</v>
      </c>
      <c r="F169" s="6" t="s">
        <v>6500</v>
      </c>
      <c r="G169" s="28" t="s">
        <v>6501</v>
      </c>
      <c r="H169" s="6" t="s">
        <v>6513</v>
      </c>
      <c r="I169" s="198" t="s">
        <v>6514</v>
      </c>
      <c r="J169" s="198" t="s">
        <v>651</v>
      </c>
    </row>
    <row r="170" customFormat="false" ht="72" hidden="false" customHeight="true" outlineLevel="0" collapsed="false">
      <c r="A170" s="28" t="s">
        <v>6515</v>
      </c>
      <c r="B170" s="28" t="s">
        <v>6516</v>
      </c>
      <c r="C170" s="228" t="s">
        <v>6517</v>
      </c>
      <c r="D170" s="6" t="s">
        <v>6518</v>
      </c>
      <c r="E170" s="28" t="s">
        <v>6482</v>
      </c>
      <c r="F170" s="6" t="s">
        <v>6519</v>
      </c>
      <c r="G170" s="28" t="s">
        <v>6520</v>
      </c>
      <c r="H170" s="6" t="s">
        <v>6521</v>
      </c>
      <c r="I170" s="198" t="s">
        <v>6522</v>
      </c>
      <c r="J170" s="198" t="s">
        <v>651</v>
      </c>
    </row>
    <row r="171" customFormat="false" ht="72" hidden="false" customHeight="true" outlineLevel="0" collapsed="false">
      <c r="A171" s="28" t="s">
        <v>6523</v>
      </c>
      <c r="B171" s="28" t="s">
        <v>6516</v>
      </c>
      <c r="C171" s="228" t="s">
        <v>6524</v>
      </c>
      <c r="D171" s="6" t="s">
        <v>6525</v>
      </c>
      <c r="E171" s="28" t="s">
        <v>6482</v>
      </c>
      <c r="F171" s="6" t="s">
        <v>6519</v>
      </c>
      <c r="G171" s="28" t="s">
        <v>6520</v>
      </c>
      <c r="H171" s="6" t="s">
        <v>6526</v>
      </c>
      <c r="I171" s="198" t="s">
        <v>6527</v>
      </c>
      <c r="J171" s="198" t="s">
        <v>651</v>
      </c>
    </row>
    <row r="172" customFormat="false" ht="57.75" hidden="false" customHeight="true" outlineLevel="0" collapsed="false">
      <c r="A172" s="28" t="s">
        <v>6528</v>
      </c>
      <c r="B172" s="28" t="s">
        <v>6516</v>
      </c>
      <c r="C172" s="228" t="s">
        <v>6529</v>
      </c>
      <c r="D172" s="6" t="s">
        <v>6530</v>
      </c>
      <c r="E172" s="28" t="s">
        <v>6482</v>
      </c>
      <c r="F172" s="6" t="s">
        <v>6519</v>
      </c>
      <c r="G172" s="28" t="s">
        <v>6520</v>
      </c>
      <c r="H172" s="6" t="s">
        <v>6531</v>
      </c>
      <c r="I172" s="198" t="s">
        <v>6532</v>
      </c>
      <c r="J172" s="198" t="s">
        <v>651</v>
      </c>
    </row>
    <row r="173" customFormat="false" ht="114.75" hidden="false" customHeight="true" outlineLevel="0" collapsed="false">
      <c r="A173" s="28" t="s">
        <v>6533</v>
      </c>
      <c r="B173" s="28" t="s">
        <v>6516</v>
      </c>
      <c r="C173" s="228" t="s">
        <v>6534</v>
      </c>
      <c r="D173" s="6" t="s">
        <v>6535</v>
      </c>
      <c r="E173" s="28" t="s">
        <v>6482</v>
      </c>
      <c r="F173" s="6" t="s">
        <v>6519</v>
      </c>
      <c r="G173" s="28" t="s">
        <v>6520</v>
      </c>
      <c r="H173" s="6" t="s">
        <v>6536</v>
      </c>
      <c r="I173" s="198" t="s">
        <v>6537</v>
      </c>
      <c r="J173" s="198" t="s">
        <v>651</v>
      </c>
    </row>
    <row r="174" customFormat="false" ht="57.75" hidden="false" customHeight="true" outlineLevel="0" collapsed="false">
      <c r="A174" s="28" t="s">
        <v>5787</v>
      </c>
      <c r="B174" s="28" t="s">
        <v>6516</v>
      </c>
      <c r="C174" s="228" t="s">
        <v>6538</v>
      </c>
      <c r="D174" s="228" t="s">
        <v>6539</v>
      </c>
      <c r="E174" s="28" t="s">
        <v>6482</v>
      </c>
      <c r="F174" s="6" t="s">
        <v>6519</v>
      </c>
      <c r="G174" s="28" t="s">
        <v>6520</v>
      </c>
      <c r="H174" s="6" t="s">
        <v>6540</v>
      </c>
      <c r="I174" s="198" t="s">
        <v>6541</v>
      </c>
      <c r="J174" s="198" t="s">
        <v>651</v>
      </c>
    </row>
    <row r="175" customFormat="false" ht="57.75" hidden="false" customHeight="true" outlineLevel="0" collapsed="false">
      <c r="A175" s="28" t="s">
        <v>6542</v>
      </c>
      <c r="B175" s="28" t="s">
        <v>6516</v>
      </c>
      <c r="C175" s="228" t="s">
        <v>6543</v>
      </c>
      <c r="D175" s="6" t="s">
        <v>6544</v>
      </c>
      <c r="E175" s="28" t="s">
        <v>6482</v>
      </c>
      <c r="F175" s="6" t="s">
        <v>6519</v>
      </c>
      <c r="G175" s="28" t="s">
        <v>6520</v>
      </c>
      <c r="H175" s="6" t="s">
        <v>6545</v>
      </c>
      <c r="I175" s="198" t="s">
        <v>6546</v>
      </c>
      <c r="J175" s="198" t="s">
        <v>651</v>
      </c>
    </row>
    <row r="176" customFormat="false" ht="114.75" hidden="false" customHeight="true" outlineLevel="0" collapsed="false">
      <c r="A176" s="28" t="s">
        <v>5804</v>
      </c>
      <c r="B176" s="28" t="s">
        <v>6547</v>
      </c>
      <c r="C176" s="228" t="s">
        <v>6548</v>
      </c>
      <c r="D176" s="6" t="s">
        <v>6549</v>
      </c>
      <c r="E176" s="28" t="s">
        <v>6550</v>
      </c>
      <c r="F176" s="6" t="s">
        <v>6551</v>
      </c>
      <c r="G176" s="28" t="s">
        <v>6552</v>
      </c>
      <c r="H176" s="6" t="s">
        <v>6553</v>
      </c>
      <c r="I176" s="198" t="s">
        <v>6554</v>
      </c>
      <c r="J176" s="198" t="s">
        <v>651</v>
      </c>
    </row>
    <row r="177" customFormat="false" ht="100.5" hidden="false" customHeight="true" outlineLevel="0" collapsed="false">
      <c r="A177" s="28" t="s">
        <v>6555</v>
      </c>
      <c r="B177" s="28" t="s">
        <v>6547</v>
      </c>
      <c r="C177" s="228" t="s">
        <v>6556</v>
      </c>
      <c r="D177" s="6" t="s">
        <v>6557</v>
      </c>
      <c r="E177" s="28" t="s">
        <v>6550</v>
      </c>
      <c r="F177" s="6" t="s">
        <v>6551</v>
      </c>
      <c r="G177" s="28" t="s">
        <v>6552</v>
      </c>
      <c r="H177" s="6" t="s">
        <v>6558</v>
      </c>
      <c r="I177" s="198" t="s">
        <v>6559</v>
      </c>
      <c r="J177" s="198" t="s">
        <v>651</v>
      </c>
    </row>
    <row r="178" customFormat="false" ht="86.25" hidden="false" customHeight="true" outlineLevel="0" collapsed="false">
      <c r="A178" s="28" t="s">
        <v>6560</v>
      </c>
      <c r="B178" s="28" t="s">
        <v>6547</v>
      </c>
      <c r="C178" s="228" t="s">
        <v>6561</v>
      </c>
      <c r="D178" s="228" t="s">
        <v>6562</v>
      </c>
      <c r="E178" s="28" t="s">
        <v>6550</v>
      </c>
      <c r="F178" s="6" t="s">
        <v>6551</v>
      </c>
      <c r="G178" s="28" t="s">
        <v>6552</v>
      </c>
      <c r="H178" s="6" t="s">
        <v>6563</v>
      </c>
      <c r="I178" s="198" t="s">
        <v>6564</v>
      </c>
      <c r="J178" s="198" t="s">
        <v>651</v>
      </c>
    </row>
    <row r="179" customFormat="false" ht="129.1" hidden="false" customHeight="false" outlineLevel="0" collapsed="false">
      <c r="A179" s="61" t="s">
        <v>6565</v>
      </c>
      <c r="B179" s="61" t="s">
        <v>6566</v>
      </c>
      <c r="C179" s="5" t="s">
        <v>6567</v>
      </c>
      <c r="D179" s="5" t="s">
        <v>6568</v>
      </c>
      <c r="E179" s="61" t="s">
        <v>6550</v>
      </c>
      <c r="F179" s="6" t="s">
        <v>6569</v>
      </c>
      <c r="G179" s="61" t="s">
        <v>6570</v>
      </c>
      <c r="H179" s="6" t="s">
        <v>6571</v>
      </c>
      <c r="I179" s="60" t="s">
        <v>6572</v>
      </c>
      <c r="J179" s="60" t="s">
        <v>651</v>
      </c>
    </row>
    <row r="180" customFormat="false" ht="86.55" hidden="false" customHeight="false" outlineLevel="0" collapsed="false">
      <c r="A180" s="61" t="s">
        <v>6573</v>
      </c>
      <c r="B180" s="61" t="s">
        <v>6566</v>
      </c>
      <c r="C180" s="5" t="s">
        <v>6574</v>
      </c>
      <c r="D180" s="5" t="s">
        <v>6575</v>
      </c>
      <c r="E180" s="61" t="s">
        <v>6550</v>
      </c>
      <c r="F180" s="6" t="s">
        <v>6569</v>
      </c>
      <c r="G180" s="61" t="s">
        <v>6570</v>
      </c>
      <c r="H180" s="6" t="s">
        <v>6576</v>
      </c>
      <c r="I180" s="60" t="s">
        <v>6577</v>
      </c>
      <c r="J180" s="60" t="s">
        <v>651</v>
      </c>
    </row>
    <row r="181" customFormat="false" ht="72.35" hidden="false" customHeight="false" outlineLevel="0" collapsed="false">
      <c r="A181" s="61" t="s">
        <v>6578</v>
      </c>
      <c r="B181" s="61" t="s">
        <v>6566</v>
      </c>
      <c r="C181" s="5" t="s">
        <v>6579</v>
      </c>
      <c r="D181" s="6" t="s">
        <v>6580</v>
      </c>
      <c r="E181" s="61" t="s">
        <v>6550</v>
      </c>
      <c r="F181" s="6" t="s">
        <v>6569</v>
      </c>
      <c r="G181" s="61" t="s">
        <v>6570</v>
      </c>
      <c r="H181" s="6" t="s">
        <v>6581</v>
      </c>
      <c r="I181" s="60" t="s">
        <v>6582</v>
      </c>
      <c r="J181" s="60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6583</v>
      </c>
    </row>
    <row r="2" customFormat="false" ht="15" hidden="false" customHeight="true" outlineLevel="0" collapsed="false">
      <c r="A2" s="233" t="s">
        <v>6584</v>
      </c>
    </row>
    <row r="3" customFormat="false" ht="15" hidden="false" customHeight="true" outlineLevel="0" collapsed="false">
      <c r="A3" s="233" t="s">
        <v>6585</v>
      </c>
    </row>
    <row r="4" customFormat="false" ht="43.5" hidden="false" customHeight="true" outlineLevel="0" collapsed="false">
      <c r="A4" s="84" t="s">
        <v>6586</v>
      </c>
      <c r="B4" s="222" t="s">
        <v>2401</v>
      </c>
      <c r="C4" s="222" t="s">
        <v>6587</v>
      </c>
      <c r="D4" s="222" t="s">
        <v>1150</v>
      </c>
      <c r="E4" s="222" t="s">
        <v>1151</v>
      </c>
      <c r="F4" s="222" t="s">
        <v>83</v>
      </c>
      <c r="G4" s="222" t="s">
        <v>472</v>
      </c>
      <c r="H4" s="222" t="s">
        <v>6588</v>
      </c>
      <c r="I4" s="222" t="s">
        <v>5819</v>
      </c>
      <c r="J4" s="222" t="s">
        <v>5822</v>
      </c>
      <c r="K4" s="222" t="s">
        <v>5993</v>
      </c>
      <c r="L4" s="222" t="s">
        <v>6589</v>
      </c>
      <c r="M4" s="222" t="s">
        <v>6590</v>
      </c>
      <c r="N4" s="222" t="s">
        <v>6591</v>
      </c>
      <c r="O4" s="222" t="s">
        <v>607</v>
      </c>
      <c r="P4" s="222" t="s">
        <v>6592</v>
      </c>
      <c r="Q4" s="84" t="s">
        <v>6593</v>
      </c>
      <c r="R4" s="222" t="s">
        <v>6594</v>
      </c>
      <c r="S4" s="222" t="s">
        <v>6595</v>
      </c>
      <c r="T4" s="84" t="s">
        <v>6596</v>
      </c>
      <c r="U4" s="222" t="s">
        <v>6597</v>
      </c>
      <c r="V4" s="222" t="s">
        <v>6598</v>
      </c>
      <c r="W4" s="222" t="s">
        <v>6599</v>
      </c>
      <c r="X4" s="222" t="s">
        <v>6600</v>
      </c>
      <c r="Y4" s="222" t="s">
        <v>6601</v>
      </c>
      <c r="Z4" s="222" t="s">
        <v>6602</v>
      </c>
      <c r="AH4" s="83" t="s">
        <v>6603</v>
      </c>
    </row>
    <row r="5" customFormat="false" ht="29.25" hidden="false" customHeight="true" outlineLevel="0" collapsed="false">
      <c r="A5" s="28" t="s">
        <v>4074</v>
      </c>
      <c r="B5" s="6" t="s">
        <v>6604</v>
      </c>
      <c r="C5" s="226" t="n">
        <v>10.2</v>
      </c>
      <c r="D5" s="224"/>
      <c r="E5" s="224"/>
      <c r="F5" s="28" t="s">
        <v>6605</v>
      </c>
      <c r="G5" s="224" t="s">
        <v>6606</v>
      </c>
      <c r="H5" s="28" t="s">
        <v>6607</v>
      </c>
      <c r="I5" s="28" t="s">
        <v>6608</v>
      </c>
      <c r="J5" s="6" t="s">
        <v>6609</v>
      </c>
      <c r="K5" s="224" t="n">
        <v>1</v>
      </c>
      <c r="L5" s="224" t="s">
        <v>6610</v>
      </c>
      <c r="M5" s="6" t="s">
        <v>6611</v>
      </c>
      <c r="N5" s="224" t="s">
        <v>6612</v>
      </c>
      <c r="O5" s="28" t="s">
        <v>6613</v>
      </c>
      <c r="P5" s="28" t="s">
        <v>620</v>
      </c>
      <c r="Q5" s="28" t="s">
        <v>6614</v>
      </c>
      <c r="R5" s="28" t="s">
        <v>620</v>
      </c>
      <c r="S5" s="28" t="s">
        <v>6120</v>
      </c>
      <c r="T5" s="28" t="s">
        <v>620</v>
      </c>
      <c r="U5" s="28" t="s">
        <v>6116</v>
      </c>
      <c r="V5" s="6" t="s">
        <v>6615</v>
      </c>
      <c r="W5" s="6" t="s">
        <v>6616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6617</v>
      </c>
      <c r="B6" s="6" t="s">
        <v>6618</v>
      </c>
      <c r="C6" s="226" t="n">
        <v>30000</v>
      </c>
      <c r="D6" s="224"/>
      <c r="E6" s="224"/>
      <c r="F6" s="28" t="s">
        <v>116</v>
      </c>
      <c r="G6" s="224" t="s">
        <v>6619</v>
      </c>
      <c r="H6" s="28" t="s">
        <v>172</v>
      </c>
      <c r="I6" s="28" t="s">
        <v>6620</v>
      </c>
      <c r="J6" s="6" t="s">
        <v>6621</v>
      </c>
      <c r="K6" s="224" t="n">
        <v>3</v>
      </c>
      <c r="L6" s="224" t="s">
        <v>6610</v>
      </c>
      <c r="M6" s="6" t="s">
        <v>6622</v>
      </c>
      <c r="N6" s="224" t="s">
        <v>6623</v>
      </c>
      <c r="O6" s="28" t="s">
        <v>6613</v>
      </c>
      <c r="P6" s="28" t="s">
        <v>620</v>
      </c>
      <c r="Q6" s="28" t="s">
        <v>6624</v>
      </c>
      <c r="R6" s="28" t="s">
        <v>620</v>
      </c>
      <c r="S6" s="28" t="s">
        <v>620</v>
      </c>
      <c r="T6" s="28" t="s">
        <v>620</v>
      </c>
      <c r="U6" s="28" t="s">
        <v>6125</v>
      </c>
      <c r="V6" s="6" t="s">
        <v>620</v>
      </c>
      <c r="W6" s="6" t="s">
        <v>620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4104</v>
      </c>
      <c r="B7" s="6" t="s">
        <v>6625</v>
      </c>
      <c r="C7" s="224"/>
      <c r="D7" s="226" t="n">
        <v>220000</v>
      </c>
      <c r="E7" s="226" t="n">
        <v>320000</v>
      </c>
      <c r="F7" s="28" t="s">
        <v>6626</v>
      </c>
      <c r="G7" s="224" t="s">
        <v>6627</v>
      </c>
      <c r="H7" s="28" t="s">
        <v>172</v>
      </c>
      <c r="I7" s="28" t="s">
        <v>6620</v>
      </c>
      <c r="J7" s="6" t="s">
        <v>6621</v>
      </c>
      <c r="K7" s="224" t="n">
        <v>2</v>
      </c>
      <c r="L7" s="224" t="s">
        <v>6610</v>
      </c>
      <c r="M7" s="6" t="s">
        <v>6622</v>
      </c>
      <c r="N7" s="224" t="s">
        <v>6623</v>
      </c>
      <c r="O7" s="28" t="s">
        <v>6613</v>
      </c>
      <c r="P7" s="28" t="s">
        <v>620</v>
      </c>
      <c r="Q7" s="28" t="s">
        <v>6628</v>
      </c>
      <c r="R7" s="28" t="s">
        <v>620</v>
      </c>
      <c r="S7" s="28" t="s">
        <v>6120</v>
      </c>
      <c r="T7" s="28" t="s">
        <v>620</v>
      </c>
      <c r="U7" s="28" t="s">
        <v>6125</v>
      </c>
      <c r="V7" s="6" t="s">
        <v>6629</v>
      </c>
      <c r="W7" s="6" t="s">
        <v>6630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4062</v>
      </c>
      <c r="B8" s="6" t="s">
        <v>6631</v>
      </c>
      <c r="C8" s="224"/>
      <c r="D8" s="226" t="n">
        <v>120</v>
      </c>
      <c r="E8" s="226" t="n">
        <v>132</v>
      </c>
      <c r="F8" s="28" t="s">
        <v>6632</v>
      </c>
      <c r="G8" s="224" t="s">
        <v>6633</v>
      </c>
      <c r="H8" s="28" t="s">
        <v>173</v>
      </c>
      <c r="I8" s="28" t="s">
        <v>6634</v>
      </c>
      <c r="J8" s="6" t="s">
        <v>6635</v>
      </c>
      <c r="K8" s="224" t="n">
        <v>1</v>
      </c>
      <c r="L8" s="224" t="s">
        <v>6610</v>
      </c>
      <c r="M8" s="6" t="s">
        <v>6636</v>
      </c>
      <c r="N8" s="224" t="s">
        <v>6612</v>
      </c>
      <c r="O8" s="28" t="s">
        <v>6613</v>
      </c>
      <c r="P8" s="28" t="s">
        <v>620</v>
      </c>
      <c r="Q8" s="28" t="s">
        <v>6637</v>
      </c>
      <c r="R8" s="28" t="s">
        <v>620</v>
      </c>
      <c r="S8" s="28" t="s">
        <v>6120</v>
      </c>
      <c r="T8" s="28" t="s">
        <v>620</v>
      </c>
      <c r="U8" s="28" t="s">
        <v>6638</v>
      </c>
      <c r="V8" s="6" t="s">
        <v>6639</v>
      </c>
      <c r="W8" s="19" t="s">
        <v>6640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4064</v>
      </c>
      <c r="B9" s="6" t="s">
        <v>6641</v>
      </c>
      <c r="C9" s="224"/>
      <c r="D9" s="226" t="n">
        <v>132</v>
      </c>
      <c r="E9" s="226" t="n">
        <v>140</v>
      </c>
      <c r="F9" s="28" t="s">
        <v>6632</v>
      </c>
      <c r="G9" s="224" t="s">
        <v>6642</v>
      </c>
      <c r="H9" s="28" t="s">
        <v>174</v>
      </c>
      <c r="I9" s="28" t="s">
        <v>6634</v>
      </c>
      <c r="J9" s="6" t="s">
        <v>6643</v>
      </c>
      <c r="K9" s="224" t="n">
        <v>2</v>
      </c>
      <c r="L9" s="224" t="s">
        <v>6610</v>
      </c>
      <c r="M9" s="6" t="s">
        <v>6636</v>
      </c>
      <c r="N9" s="224" t="s">
        <v>6623</v>
      </c>
      <c r="O9" s="28" t="s">
        <v>6613</v>
      </c>
      <c r="P9" s="28" t="s">
        <v>620</v>
      </c>
      <c r="Q9" s="28" t="s">
        <v>6644</v>
      </c>
      <c r="R9" s="28" t="s">
        <v>620</v>
      </c>
      <c r="S9" s="28" t="s">
        <v>6120</v>
      </c>
      <c r="T9" s="28" t="s">
        <v>620</v>
      </c>
      <c r="U9" s="28" t="s">
        <v>6638</v>
      </c>
      <c r="V9" s="6" t="s">
        <v>6645</v>
      </c>
      <c r="W9" s="19" t="s">
        <v>6646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4108</v>
      </c>
      <c r="B10" s="6" t="s">
        <v>6647</v>
      </c>
      <c r="C10" s="224"/>
      <c r="D10" s="226" t="n">
        <v>2.8</v>
      </c>
      <c r="E10" s="226" t="n">
        <v>3.4</v>
      </c>
      <c r="F10" s="28" t="s">
        <v>6648</v>
      </c>
      <c r="G10" s="224" t="s">
        <v>6649</v>
      </c>
      <c r="H10" s="28" t="s">
        <v>173</v>
      </c>
      <c r="I10" s="28" t="s">
        <v>6650</v>
      </c>
      <c r="J10" s="6" t="s">
        <v>6651</v>
      </c>
      <c r="K10" s="224" t="n">
        <v>2</v>
      </c>
      <c r="L10" s="224" t="s">
        <v>6610</v>
      </c>
      <c r="M10" s="19" t="s">
        <v>6652</v>
      </c>
      <c r="N10" s="224" t="s">
        <v>6623</v>
      </c>
      <c r="O10" s="28" t="s">
        <v>6613</v>
      </c>
      <c r="P10" s="28" t="s">
        <v>620</v>
      </c>
      <c r="Q10" s="28" t="s">
        <v>6653</v>
      </c>
      <c r="R10" s="28" t="s">
        <v>620</v>
      </c>
      <c r="S10" s="28" t="s">
        <v>6120</v>
      </c>
      <c r="T10" s="28" t="s">
        <v>620</v>
      </c>
      <c r="U10" s="28" t="s">
        <v>6654</v>
      </c>
      <c r="V10" s="6" t="s">
        <v>6655</v>
      </c>
      <c r="W10" s="19" t="s">
        <v>6656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6657</v>
      </c>
      <c r="B11" s="6" t="s">
        <v>6658</v>
      </c>
      <c r="C11" s="224"/>
      <c r="D11" s="226" t="n">
        <v>6</v>
      </c>
      <c r="E11" s="226" t="n">
        <v>6.5</v>
      </c>
      <c r="F11" s="28" t="s">
        <v>6648</v>
      </c>
      <c r="G11" s="224" t="s">
        <v>6649</v>
      </c>
      <c r="H11" s="28" t="s">
        <v>174</v>
      </c>
      <c r="I11" s="28" t="s">
        <v>6650</v>
      </c>
      <c r="J11" s="6" t="s">
        <v>6651</v>
      </c>
      <c r="K11" s="224" t="n">
        <v>3</v>
      </c>
      <c r="L11" s="224" t="s">
        <v>6610</v>
      </c>
      <c r="M11" s="19" t="s">
        <v>6652</v>
      </c>
      <c r="N11" s="224" t="s">
        <v>6623</v>
      </c>
      <c r="O11" s="28" t="s">
        <v>6659</v>
      </c>
      <c r="P11" s="28" t="s">
        <v>620</v>
      </c>
      <c r="Q11" s="28" t="s">
        <v>6660</v>
      </c>
      <c r="R11" s="28" t="s">
        <v>620</v>
      </c>
      <c r="S11" s="28" t="s">
        <v>620</v>
      </c>
      <c r="T11" s="28" t="s">
        <v>620</v>
      </c>
      <c r="U11" s="28" t="s">
        <v>6654</v>
      </c>
      <c r="V11" s="228" t="s">
        <v>6661</v>
      </c>
      <c r="W11" s="6" t="s">
        <v>6662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6663</v>
      </c>
      <c r="B12" s="6" t="s">
        <v>6664</v>
      </c>
      <c r="C12" s="224"/>
      <c r="D12" s="226" t="n">
        <v>5</v>
      </c>
      <c r="E12" s="226" t="n">
        <v>7</v>
      </c>
      <c r="F12" s="28" t="s">
        <v>6648</v>
      </c>
      <c r="G12" s="224" t="s">
        <v>6649</v>
      </c>
      <c r="H12" s="28" t="s">
        <v>175</v>
      </c>
      <c r="I12" s="28" t="s">
        <v>6650</v>
      </c>
      <c r="J12" s="6" t="s">
        <v>6651</v>
      </c>
      <c r="K12" s="224" t="n">
        <v>3</v>
      </c>
      <c r="L12" s="224" t="s">
        <v>6610</v>
      </c>
      <c r="M12" s="19" t="s">
        <v>6652</v>
      </c>
      <c r="N12" s="224" t="s">
        <v>6623</v>
      </c>
      <c r="O12" s="28" t="s">
        <v>6659</v>
      </c>
      <c r="P12" s="28" t="s">
        <v>620</v>
      </c>
      <c r="Q12" s="28" t="s">
        <v>6665</v>
      </c>
      <c r="R12" s="28" t="s">
        <v>620</v>
      </c>
      <c r="S12" s="28" t="s">
        <v>620</v>
      </c>
      <c r="T12" s="28" t="s">
        <v>620</v>
      </c>
      <c r="U12" s="28" t="s">
        <v>6654</v>
      </c>
      <c r="V12" s="6" t="s">
        <v>620</v>
      </c>
      <c r="W12" s="19" t="s">
        <v>6666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6667</v>
      </c>
      <c r="B13" s="6" t="s">
        <v>6668</v>
      </c>
      <c r="C13" s="224"/>
      <c r="D13" s="226" t="n">
        <v>132</v>
      </c>
      <c r="E13" s="226" t="n">
        <v>140</v>
      </c>
      <c r="F13" s="28" t="s">
        <v>6632</v>
      </c>
      <c r="G13" s="224" t="s">
        <v>6669</v>
      </c>
      <c r="H13" s="28" t="s">
        <v>174</v>
      </c>
      <c r="I13" s="28" t="s">
        <v>1227</v>
      </c>
      <c r="J13" s="6" t="s">
        <v>6670</v>
      </c>
      <c r="K13" s="224" t="n">
        <v>3</v>
      </c>
      <c r="L13" s="224" t="s">
        <v>6610</v>
      </c>
      <c r="M13" s="6" t="s">
        <v>6671</v>
      </c>
      <c r="N13" s="224" t="s">
        <v>6623</v>
      </c>
      <c r="O13" s="28" t="s">
        <v>6613</v>
      </c>
      <c r="P13" s="28" t="s">
        <v>620</v>
      </c>
      <c r="Q13" s="28" t="s">
        <v>6672</v>
      </c>
      <c r="R13" s="28" t="s">
        <v>620</v>
      </c>
      <c r="S13" s="28" t="s">
        <v>620</v>
      </c>
      <c r="T13" s="28" t="s">
        <v>620</v>
      </c>
      <c r="U13" s="28" t="s">
        <v>6673</v>
      </c>
      <c r="V13" s="6" t="s">
        <v>6674</v>
      </c>
      <c r="W13" s="6" t="s">
        <v>620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4149</v>
      </c>
      <c r="B14" s="6" t="s">
        <v>6675</v>
      </c>
      <c r="C14" s="226" t="n">
        <v>5</v>
      </c>
      <c r="D14" s="224"/>
      <c r="E14" s="224"/>
      <c r="F14" s="28" t="s">
        <v>6648</v>
      </c>
      <c r="G14" s="224" t="s">
        <v>6676</v>
      </c>
      <c r="H14" s="28" t="s">
        <v>174</v>
      </c>
      <c r="I14" s="28" t="s">
        <v>1227</v>
      </c>
      <c r="J14" s="6" t="s">
        <v>6677</v>
      </c>
      <c r="K14" s="224" t="n">
        <v>2</v>
      </c>
      <c r="L14" s="224" t="s">
        <v>6610</v>
      </c>
      <c r="M14" s="19" t="s">
        <v>6678</v>
      </c>
      <c r="N14" s="224" t="s">
        <v>6623</v>
      </c>
      <c r="O14" s="28" t="s">
        <v>6613</v>
      </c>
      <c r="P14" s="28" t="s">
        <v>620</v>
      </c>
      <c r="Q14" s="28" t="s">
        <v>6679</v>
      </c>
      <c r="R14" s="28" t="s">
        <v>620</v>
      </c>
      <c r="S14" s="28" t="s">
        <v>3379</v>
      </c>
      <c r="T14" s="28" t="s">
        <v>620</v>
      </c>
      <c r="U14" s="28" t="s">
        <v>6680</v>
      </c>
      <c r="V14" s="6" t="s">
        <v>6681</v>
      </c>
      <c r="W14" s="6" t="s">
        <v>6682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4067</v>
      </c>
      <c r="B15" s="6" t="s">
        <v>6683</v>
      </c>
      <c r="C15" s="226" t="n">
        <v>188</v>
      </c>
      <c r="D15" s="224"/>
      <c r="E15" s="224"/>
      <c r="F15" s="28" t="s">
        <v>6632</v>
      </c>
      <c r="G15" s="224" t="s">
        <v>6684</v>
      </c>
      <c r="H15" s="28" t="s">
        <v>175</v>
      </c>
      <c r="I15" s="28" t="s">
        <v>6620</v>
      </c>
      <c r="J15" s="6" t="s">
        <v>6685</v>
      </c>
      <c r="K15" s="224" t="n">
        <v>1</v>
      </c>
      <c r="L15" s="224" t="s">
        <v>6610</v>
      </c>
      <c r="M15" s="19" t="s">
        <v>6686</v>
      </c>
      <c r="N15" s="224" t="s">
        <v>6612</v>
      </c>
      <c r="O15" s="28" t="s">
        <v>6613</v>
      </c>
      <c r="P15" s="28" t="s">
        <v>620</v>
      </c>
      <c r="Q15" s="28" t="s">
        <v>6687</v>
      </c>
      <c r="R15" s="28" t="s">
        <v>620</v>
      </c>
      <c r="S15" s="28" t="s">
        <v>6120</v>
      </c>
      <c r="T15" s="28" t="s">
        <v>620</v>
      </c>
      <c r="U15" s="28" t="s">
        <v>6688</v>
      </c>
      <c r="V15" s="6" t="s">
        <v>6689</v>
      </c>
      <c r="W15" s="6" t="s">
        <v>6690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4098</v>
      </c>
      <c r="B16" s="6" t="s">
        <v>6691</v>
      </c>
      <c r="C16" s="226" t="n">
        <v>230</v>
      </c>
      <c r="D16" s="224"/>
      <c r="E16" s="224"/>
      <c r="F16" s="28" t="s">
        <v>6632</v>
      </c>
      <c r="G16" s="224" t="s">
        <v>6692</v>
      </c>
      <c r="H16" s="28" t="s">
        <v>175</v>
      </c>
      <c r="I16" s="28" t="s">
        <v>6620</v>
      </c>
      <c r="J16" s="6" t="s">
        <v>6693</v>
      </c>
      <c r="K16" s="224" t="n">
        <v>3</v>
      </c>
      <c r="L16" s="224" t="s">
        <v>6610</v>
      </c>
      <c r="M16" s="19" t="s">
        <v>6686</v>
      </c>
      <c r="N16" s="224" t="s">
        <v>6623</v>
      </c>
      <c r="O16" s="28" t="s">
        <v>6613</v>
      </c>
      <c r="P16" s="28" t="s">
        <v>620</v>
      </c>
      <c r="Q16" s="28" t="s">
        <v>6694</v>
      </c>
      <c r="R16" s="28" t="s">
        <v>620</v>
      </c>
      <c r="S16" s="28" t="s">
        <v>620</v>
      </c>
      <c r="T16" s="28" t="s">
        <v>620</v>
      </c>
      <c r="U16" s="28" t="s">
        <v>6688</v>
      </c>
      <c r="V16" s="6" t="s">
        <v>6695</v>
      </c>
      <c r="W16" s="6" t="s">
        <v>3888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6696</v>
      </c>
      <c r="B17" s="6" t="s">
        <v>6697</v>
      </c>
      <c r="C17" s="226" t="n">
        <v>600</v>
      </c>
      <c r="D17" s="224"/>
      <c r="E17" s="224"/>
      <c r="F17" s="28" t="s">
        <v>6632</v>
      </c>
      <c r="G17" s="224" t="s">
        <v>6698</v>
      </c>
      <c r="H17" s="28" t="s">
        <v>6699</v>
      </c>
      <c r="I17" s="28" t="s">
        <v>6620</v>
      </c>
      <c r="J17" s="6" t="s">
        <v>6693</v>
      </c>
      <c r="K17" s="224" t="n">
        <v>3</v>
      </c>
      <c r="L17" s="224" t="s">
        <v>6610</v>
      </c>
      <c r="M17" s="19" t="s">
        <v>6686</v>
      </c>
      <c r="N17" s="224" t="s">
        <v>6623</v>
      </c>
      <c r="O17" s="28" t="s">
        <v>6700</v>
      </c>
      <c r="P17" s="28" t="s">
        <v>6701</v>
      </c>
      <c r="Q17" s="28" t="s">
        <v>6694</v>
      </c>
      <c r="R17" s="28" t="s">
        <v>620</v>
      </c>
      <c r="S17" s="28" t="s">
        <v>620</v>
      </c>
      <c r="T17" s="28" t="s">
        <v>620</v>
      </c>
      <c r="U17" s="28" t="s">
        <v>6688</v>
      </c>
      <c r="V17" s="6" t="s">
        <v>6702</v>
      </c>
      <c r="W17" s="19" t="s">
        <v>6703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4085</v>
      </c>
      <c r="B18" s="6" t="s">
        <v>6704</v>
      </c>
      <c r="C18" s="226" t="n">
        <v>227</v>
      </c>
      <c r="D18" s="224"/>
      <c r="E18" s="224"/>
      <c r="F18" s="28" t="s">
        <v>6632</v>
      </c>
      <c r="G18" s="28" t="s">
        <v>6705</v>
      </c>
      <c r="H18" s="28" t="s">
        <v>175</v>
      </c>
      <c r="I18" s="28" t="s">
        <v>1224</v>
      </c>
      <c r="J18" s="6" t="s">
        <v>6706</v>
      </c>
      <c r="K18" s="224" t="n">
        <v>1</v>
      </c>
      <c r="L18" s="224" t="s">
        <v>6610</v>
      </c>
      <c r="M18" s="6" t="s">
        <v>6707</v>
      </c>
      <c r="N18" s="224" t="s">
        <v>6612</v>
      </c>
      <c r="O18" s="28" t="s">
        <v>6613</v>
      </c>
      <c r="P18" s="28" t="s">
        <v>620</v>
      </c>
      <c r="Q18" s="28" t="s">
        <v>6708</v>
      </c>
      <c r="R18" s="28" t="s">
        <v>6709</v>
      </c>
      <c r="S18" s="28" t="s">
        <v>6120</v>
      </c>
      <c r="T18" s="28" t="s">
        <v>620</v>
      </c>
      <c r="U18" s="28" t="s">
        <v>6710</v>
      </c>
      <c r="V18" s="6" t="s">
        <v>6711</v>
      </c>
      <c r="W18" s="6" t="s">
        <v>6712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4115</v>
      </c>
      <c r="B19" s="6" t="s">
        <v>6713</v>
      </c>
      <c r="C19" s="226" t="n">
        <v>7.8</v>
      </c>
      <c r="D19" s="224"/>
      <c r="E19" s="224"/>
      <c r="F19" s="28" t="s">
        <v>6648</v>
      </c>
      <c r="G19" s="224" t="s">
        <v>6714</v>
      </c>
      <c r="H19" s="28" t="s">
        <v>175</v>
      </c>
      <c r="I19" s="28" t="s">
        <v>6715</v>
      </c>
      <c r="J19" s="6" t="s">
        <v>6716</v>
      </c>
      <c r="K19" s="224" t="n">
        <v>2</v>
      </c>
      <c r="L19" s="224" t="s">
        <v>6717</v>
      </c>
      <c r="M19" s="6" t="s">
        <v>6718</v>
      </c>
      <c r="N19" s="224" t="s">
        <v>6623</v>
      </c>
      <c r="O19" s="28" t="s">
        <v>6613</v>
      </c>
      <c r="P19" s="28" t="s">
        <v>620</v>
      </c>
      <c r="Q19" s="28" t="s">
        <v>6719</v>
      </c>
      <c r="R19" s="28" t="s">
        <v>620</v>
      </c>
      <c r="S19" s="28" t="s">
        <v>6120</v>
      </c>
      <c r="T19" s="28" t="s">
        <v>620</v>
      </c>
      <c r="U19" s="28" t="s">
        <v>6720</v>
      </c>
      <c r="V19" s="6" t="s">
        <v>6721</v>
      </c>
      <c r="W19" s="6" t="s">
        <v>6722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6723</v>
      </c>
      <c r="B20" s="6" t="s">
        <v>6724</v>
      </c>
      <c r="C20" s="226" t="n">
        <v>6.7</v>
      </c>
      <c r="D20" s="224"/>
      <c r="E20" s="224"/>
      <c r="F20" s="28" t="s">
        <v>6648</v>
      </c>
      <c r="G20" s="224" t="s">
        <v>6725</v>
      </c>
      <c r="H20" s="28" t="s">
        <v>175</v>
      </c>
      <c r="I20" s="28" t="s">
        <v>6715</v>
      </c>
      <c r="J20" s="6" t="s">
        <v>6716</v>
      </c>
      <c r="K20" s="224" t="n">
        <v>3</v>
      </c>
      <c r="L20" s="224" t="s">
        <v>6717</v>
      </c>
      <c r="M20" s="6" t="s">
        <v>6726</v>
      </c>
      <c r="N20" s="224" t="s">
        <v>6623</v>
      </c>
      <c r="O20" s="28" t="s">
        <v>6659</v>
      </c>
      <c r="P20" s="28" t="s">
        <v>620</v>
      </c>
      <c r="Q20" s="28" t="s">
        <v>6727</v>
      </c>
      <c r="R20" s="28" t="s">
        <v>620</v>
      </c>
      <c r="S20" s="28" t="s">
        <v>620</v>
      </c>
      <c r="T20" s="28" t="s">
        <v>620</v>
      </c>
      <c r="U20" s="28" t="s">
        <v>6720</v>
      </c>
      <c r="V20" s="6" t="s">
        <v>6728</v>
      </c>
      <c r="W20" s="19" t="s">
        <v>6729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4152</v>
      </c>
      <c r="B21" s="6" t="s">
        <v>6730</v>
      </c>
      <c r="C21" s="226" t="n">
        <v>9.09</v>
      </c>
      <c r="D21" s="224"/>
      <c r="E21" s="224"/>
      <c r="F21" s="28" t="s">
        <v>6648</v>
      </c>
      <c r="G21" s="224" t="s">
        <v>6731</v>
      </c>
      <c r="H21" s="28" t="s">
        <v>175</v>
      </c>
      <c r="I21" s="28" t="s">
        <v>6634</v>
      </c>
      <c r="J21" s="6" t="s">
        <v>6732</v>
      </c>
      <c r="K21" s="224" t="n">
        <v>2</v>
      </c>
      <c r="L21" s="224" t="s">
        <v>6717</v>
      </c>
      <c r="M21" s="6" t="s">
        <v>6726</v>
      </c>
      <c r="N21" s="224" t="s">
        <v>6623</v>
      </c>
      <c r="O21" s="28" t="s">
        <v>6659</v>
      </c>
      <c r="P21" s="28" t="s">
        <v>620</v>
      </c>
      <c r="Q21" s="28" t="s">
        <v>6733</v>
      </c>
      <c r="R21" s="28" t="s">
        <v>620</v>
      </c>
      <c r="S21" s="28" t="s">
        <v>3379</v>
      </c>
      <c r="T21" s="28" t="s">
        <v>620</v>
      </c>
      <c r="U21" s="28" t="s">
        <v>6720</v>
      </c>
      <c r="V21" s="6" t="s">
        <v>6734</v>
      </c>
      <c r="W21" s="19" t="s">
        <v>6735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6736</v>
      </c>
      <c r="B22" s="6" t="s">
        <v>6737</v>
      </c>
      <c r="C22" s="226" t="n">
        <v>1</v>
      </c>
      <c r="D22" s="224"/>
      <c r="E22" s="224"/>
      <c r="F22" s="28" t="s">
        <v>6648</v>
      </c>
      <c r="G22" s="224" t="s">
        <v>6698</v>
      </c>
      <c r="H22" s="28" t="s">
        <v>175</v>
      </c>
      <c r="I22" s="28" t="s">
        <v>6620</v>
      </c>
      <c r="J22" s="6" t="s">
        <v>6738</v>
      </c>
      <c r="K22" s="224" t="n">
        <v>3</v>
      </c>
      <c r="L22" s="224" t="s">
        <v>6610</v>
      </c>
      <c r="M22" s="6" t="s">
        <v>6739</v>
      </c>
      <c r="N22" s="224" t="s">
        <v>6623</v>
      </c>
      <c r="O22" s="28" t="s">
        <v>6659</v>
      </c>
      <c r="P22" s="28" t="s">
        <v>620</v>
      </c>
      <c r="Q22" s="28" t="s">
        <v>6740</v>
      </c>
      <c r="R22" s="28" t="s">
        <v>620</v>
      </c>
      <c r="S22" s="28" t="s">
        <v>620</v>
      </c>
      <c r="T22" s="28" t="s">
        <v>620</v>
      </c>
      <c r="U22" s="28" t="s">
        <v>6741</v>
      </c>
      <c r="V22" s="6" t="s">
        <v>620</v>
      </c>
      <c r="W22" s="19" t="s">
        <v>6742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4326</v>
      </c>
      <c r="B23" s="6" t="s">
        <v>6743</v>
      </c>
      <c r="C23" s="226" t="n">
        <v>0.989</v>
      </c>
      <c r="D23" s="224"/>
      <c r="E23" s="224"/>
      <c r="F23" s="28" t="s">
        <v>476</v>
      </c>
      <c r="G23" s="28" t="s">
        <v>6744</v>
      </c>
      <c r="H23" s="28" t="s">
        <v>172</v>
      </c>
      <c r="I23" s="28" t="s">
        <v>6745</v>
      </c>
      <c r="J23" s="19" t="s">
        <v>6746</v>
      </c>
      <c r="K23" s="224" t="n">
        <v>3</v>
      </c>
      <c r="L23" s="224" t="s">
        <v>6610</v>
      </c>
      <c r="M23" s="6" t="s">
        <v>6747</v>
      </c>
      <c r="N23" s="224" t="s">
        <v>6748</v>
      </c>
      <c r="O23" s="28" t="s">
        <v>6613</v>
      </c>
      <c r="P23" s="28" t="s">
        <v>620</v>
      </c>
      <c r="Q23" s="28" t="s">
        <v>6749</v>
      </c>
      <c r="R23" s="28" t="s">
        <v>620</v>
      </c>
      <c r="S23" s="28" t="s">
        <v>620</v>
      </c>
      <c r="T23" s="28" t="s">
        <v>620</v>
      </c>
      <c r="U23" s="28" t="s">
        <v>6750</v>
      </c>
      <c r="V23" s="6" t="s">
        <v>6751</v>
      </c>
      <c r="W23" s="6" t="s">
        <v>6752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4192</v>
      </c>
      <c r="B24" s="6" t="s">
        <v>6753</v>
      </c>
      <c r="C24" s="226" t="n">
        <v>80</v>
      </c>
      <c r="D24" s="224"/>
      <c r="E24" s="224"/>
      <c r="F24" s="28" t="s">
        <v>729</v>
      </c>
      <c r="G24" s="28" t="s">
        <v>620</v>
      </c>
      <c r="H24" s="28" t="s">
        <v>172</v>
      </c>
      <c r="I24" s="28" t="s">
        <v>6745</v>
      </c>
      <c r="J24" s="19" t="s">
        <v>6746</v>
      </c>
      <c r="K24" s="224" t="n">
        <v>3</v>
      </c>
      <c r="L24" s="224" t="s">
        <v>6610</v>
      </c>
      <c r="M24" s="6" t="s">
        <v>6747</v>
      </c>
      <c r="N24" s="224" t="s">
        <v>6748</v>
      </c>
      <c r="O24" s="28" t="s">
        <v>6613</v>
      </c>
      <c r="P24" s="28" t="s">
        <v>620</v>
      </c>
      <c r="Q24" s="28" t="s">
        <v>6749</v>
      </c>
      <c r="R24" s="28" t="s">
        <v>620</v>
      </c>
      <c r="S24" s="28" t="s">
        <v>620</v>
      </c>
      <c r="T24" s="28" t="s">
        <v>620</v>
      </c>
      <c r="U24" s="28" t="s">
        <v>6750</v>
      </c>
      <c r="V24" s="6" t="s">
        <v>6754</v>
      </c>
      <c r="W24" s="6" t="s">
        <v>620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4208</v>
      </c>
      <c r="B25" s="6" t="s">
        <v>6755</v>
      </c>
      <c r="C25" s="226" t="n">
        <v>3.35</v>
      </c>
      <c r="D25" s="224"/>
      <c r="E25" s="224"/>
      <c r="F25" s="28" t="s">
        <v>361</v>
      </c>
      <c r="G25" s="28" t="s">
        <v>620</v>
      </c>
      <c r="H25" s="28" t="s">
        <v>172</v>
      </c>
      <c r="I25" s="28" t="s">
        <v>6745</v>
      </c>
      <c r="J25" s="19" t="s">
        <v>6746</v>
      </c>
      <c r="K25" s="224" t="n">
        <v>3</v>
      </c>
      <c r="L25" s="224" t="s">
        <v>6610</v>
      </c>
      <c r="M25" s="6" t="s">
        <v>6747</v>
      </c>
      <c r="N25" s="224" t="s">
        <v>6748</v>
      </c>
      <c r="O25" s="28" t="s">
        <v>6613</v>
      </c>
      <c r="P25" s="28" t="s">
        <v>620</v>
      </c>
      <c r="Q25" s="28" t="s">
        <v>6749</v>
      </c>
      <c r="R25" s="28" t="s">
        <v>620</v>
      </c>
      <c r="S25" s="28" t="s">
        <v>620</v>
      </c>
      <c r="T25" s="28" t="s">
        <v>620</v>
      </c>
      <c r="U25" s="28" t="s">
        <v>6750</v>
      </c>
      <c r="V25" s="6" t="s">
        <v>6756</v>
      </c>
      <c r="W25" s="6" t="s">
        <v>620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4163</v>
      </c>
      <c r="B26" s="6" t="s">
        <v>6757</v>
      </c>
      <c r="C26" s="226" t="n">
        <v>10</v>
      </c>
      <c r="D26" s="224"/>
      <c r="E26" s="224"/>
      <c r="F26" s="28" t="s">
        <v>476</v>
      </c>
      <c r="G26" s="28" t="s">
        <v>6744</v>
      </c>
      <c r="H26" s="28" t="s">
        <v>173</v>
      </c>
      <c r="I26" s="28" t="s">
        <v>6745</v>
      </c>
      <c r="J26" s="19" t="s">
        <v>6746</v>
      </c>
      <c r="K26" s="224" t="n">
        <v>1</v>
      </c>
      <c r="L26" s="224" t="s">
        <v>6610</v>
      </c>
      <c r="M26" s="6" t="s">
        <v>6747</v>
      </c>
      <c r="N26" s="224" t="s">
        <v>6612</v>
      </c>
      <c r="O26" s="28" t="s">
        <v>6613</v>
      </c>
      <c r="P26" s="28" t="s">
        <v>620</v>
      </c>
      <c r="Q26" s="28" t="s">
        <v>6758</v>
      </c>
      <c r="R26" s="28" t="s">
        <v>620</v>
      </c>
      <c r="S26" s="28" t="s">
        <v>6120</v>
      </c>
      <c r="T26" s="28" t="s">
        <v>620</v>
      </c>
      <c r="U26" s="28" t="s">
        <v>6750</v>
      </c>
      <c r="V26" s="6" t="s">
        <v>6759</v>
      </c>
      <c r="W26" s="19" t="s">
        <v>6760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4211</v>
      </c>
      <c r="B27" s="6" t="s">
        <v>6761</v>
      </c>
      <c r="C27" s="226" t="n">
        <v>8</v>
      </c>
      <c r="D27" s="224"/>
      <c r="E27" s="224"/>
      <c r="F27" s="28" t="s">
        <v>361</v>
      </c>
      <c r="G27" s="28" t="s">
        <v>620</v>
      </c>
      <c r="H27" s="28" t="s">
        <v>173</v>
      </c>
      <c r="I27" s="28" t="s">
        <v>6745</v>
      </c>
      <c r="J27" s="19" t="s">
        <v>6746</v>
      </c>
      <c r="K27" s="224" t="n">
        <v>3</v>
      </c>
      <c r="L27" s="224" t="s">
        <v>6610</v>
      </c>
      <c r="M27" s="6" t="s">
        <v>6747</v>
      </c>
      <c r="N27" s="224" t="s">
        <v>6748</v>
      </c>
      <c r="O27" s="28" t="s">
        <v>6613</v>
      </c>
      <c r="P27" s="28" t="s">
        <v>620</v>
      </c>
      <c r="Q27" s="28" t="s">
        <v>6749</v>
      </c>
      <c r="R27" s="28" t="s">
        <v>620</v>
      </c>
      <c r="S27" s="28" t="s">
        <v>620</v>
      </c>
      <c r="T27" s="28" t="s">
        <v>620</v>
      </c>
      <c r="U27" s="28" t="s">
        <v>6750</v>
      </c>
      <c r="V27" s="6" t="s">
        <v>6762</v>
      </c>
      <c r="W27" s="6" t="s">
        <v>620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6763</v>
      </c>
      <c r="B28" s="6" t="s">
        <v>6764</v>
      </c>
      <c r="C28" s="226" t="n">
        <v>186</v>
      </c>
      <c r="D28" s="224"/>
      <c r="E28" s="224"/>
      <c r="F28" s="28" t="s">
        <v>729</v>
      </c>
      <c r="G28" s="28" t="s">
        <v>620</v>
      </c>
      <c r="H28" s="28" t="s">
        <v>173</v>
      </c>
      <c r="I28" s="28" t="s">
        <v>6745</v>
      </c>
      <c r="J28" s="19" t="s">
        <v>6746</v>
      </c>
      <c r="K28" s="224" t="n">
        <v>3</v>
      </c>
      <c r="L28" s="224" t="s">
        <v>6610</v>
      </c>
      <c r="M28" s="6" t="s">
        <v>6747</v>
      </c>
      <c r="N28" s="224" t="s">
        <v>6748</v>
      </c>
      <c r="O28" s="28" t="s">
        <v>6659</v>
      </c>
      <c r="P28" s="28" t="s">
        <v>620</v>
      </c>
      <c r="Q28" s="28" t="s">
        <v>6749</v>
      </c>
      <c r="R28" s="28" t="s">
        <v>620</v>
      </c>
      <c r="S28" s="28" t="s">
        <v>620</v>
      </c>
      <c r="T28" s="28" t="s">
        <v>620</v>
      </c>
      <c r="U28" s="28" t="s">
        <v>6750</v>
      </c>
      <c r="V28" s="6" t="s">
        <v>620</v>
      </c>
      <c r="W28" s="19" t="s">
        <v>6765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2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4165</v>
      </c>
      <c r="B29" s="6" t="s">
        <v>6766</v>
      </c>
      <c r="C29" s="226" t="n">
        <v>15</v>
      </c>
      <c r="D29" s="224"/>
      <c r="E29" s="224"/>
      <c r="F29" s="28" t="s">
        <v>476</v>
      </c>
      <c r="G29" s="28" t="s">
        <v>6744</v>
      </c>
      <c r="H29" s="28" t="s">
        <v>174</v>
      </c>
      <c r="I29" s="28" t="s">
        <v>6745</v>
      </c>
      <c r="J29" s="19" t="s">
        <v>6746</v>
      </c>
      <c r="K29" s="224" t="n">
        <v>1</v>
      </c>
      <c r="L29" s="224" t="s">
        <v>6610</v>
      </c>
      <c r="M29" s="6" t="s">
        <v>6747</v>
      </c>
      <c r="N29" s="224" t="s">
        <v>6612</v>
      </c>
      <c r="O29" s="28" t="s">
        <v>6613</v>
      </c>
      <c r="P29" s="28" t="s">
        <v>620</v>
      </c>
      <c r="Q29" s="28" t="s">
        <v>6767</v>
      </c>
      <c r="R29" s="28" t="s">
        <v>620</v>
      </c>
      <c r="S29" s="28" t="s">
        <v>6120</v>
      </c>
      <c r="T29" s="28" t="s">
        <v>620</v>
      </c>
      <c r="U29" s="28" t="s">
        <v>6750</v>
      </c>
      <c r="V29" s="6" t="s">
        <v>6768</v>
      </c>
      <c r="W29" s="6" t="s">
        <v>6769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4199</v>
      </c>
      <c r="B30" s="6" t="s">
        <v>6770</v>
      </c>
      <c r="C30" s="226" t="n">
        <v>288</v>
      </c>
      <c r="D30" s="224"/>
      <c r="E30" s="224"/>
      <c r="F30" s="28" t="s">
        <v>729</v>
      </c>
      <c r="G30" s="28" t="s">
        <v>620</v>
      </c>
      <c r="H30" s="28" t="s">
        <v>174</v>
      </c>
      <c r="I30" s="28" t="s">
        <v>6745</v>
      </c>
      <c r="J30" s="19" t="s">
        <v>6746</v>
      </c>
      <c r="K30" s="224" t="n">
        <v>3</v>
      </c>
      <c r="L30" s="224" t="s">
        <v>6610</v>
      </c>
      <c r="M30" s="6" t="s">
        <v>6747</v>
      </c>
      <c r="N30" s="224" t="s">
        <v>6748</v>
      </c>
      <c r="O30" s="28" t="s">
        <v>6613</v>
      </c>
      <c r="P30" s="28" t="s">
        <v>620</v>
      </c>
      <c r="Q30" s="28" t="s">
        <v>6749</v>
      </c>
      <c r="R30" s="28" t="s">
        <v>620</v>
      </c>
      <c r="S30" s="28" t="s">
        <v>620</v>
      </c>
      <c r="T30" s="28" t="s">
        <v>620</v>
      </c>
      <c r="U30" s="28" t="s">
        <v>6750</v>
      </c>
      <c r="V30" s="6" t="s">
        <v>6771</v>
      </c>
      <c r="W30" s="6" t="s">
        <v>620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4184</v>
      </c>
      <c r="B31" s="6" t="s">
        <v>6772</v>
      </c>
      <c r="C31" s="226" t="n">
        <v>50</v>
      </c>
      <c r="D31" s="224"/>
      <c r="E31" s="224"/>
      <c r="F31" s="28" t="s">
        <v>476</v>
      </c>
      <c r="G31" s="224" t="s">
        <v>6773</v>
      </c>
      <c r="H31" s="28" t="s">
        <v>175</v>
      </c>
      <c r="I31" s="28" t="s">
        <v>6745</v>
      </c>
      <c r="J31" s="19" t="s">
        <v>6746</v>
      </c>
      <c r="K31" s="224" t="n">
        <v>1</v>
      </c>
      <c r="L31" s="224" t="s">
        <v>6610</v>
      </c>
      <c r="M31" s="6" t="s">
        <v>6747</v>
      </c>
      <c r="N31" s="224" t="s">
        <v>6612</v>
      </c>
      <c r="O31" s="28" t="s">
        <v>6613</v>
      </c>
      <c r="P31" s="28" t="s">
        <v>620</v>
      </c>
      <c r="Q31" s="28" t="s">
        <v>6774</v>
      </c>
      <c r="R31" s="28" t="s">
        <v>620</v>
      </c>
      <c r="S31" s="28" t="s">
        <v>6120</v>
      </c>
      <c r="T31" s="28" t="s">
        <v>620</v>
      </c>
      <c r="U31" s="28" t="s">
        <v>6750</v>
      </c>
      <c r="V31" s="6" t="s">
        <v>6775</v>
      </c>
      <c r="W31" s="6" t="s">
        <v>6776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4167</v>
      </c>
      <c r="B32" s="6" t="s">
        <v>6777</v>
      </c>
      <c r="C32" s="226" t="n">
        <v>35</v>
      </c>
      <c r="D32" s="224"/>
      <c r="E32" s="224"/>
      <c r="F32" s="28" t="s">
        <v>476</v>
      </c>
      <c r="G32" s="28" t="s">
        <v>6744</v>
      </c>
      <c r="H32" s="28" t="s">
        <v>175</v>
      </c>
      <c r="I32" s="28" t="s">
        <v>6745</v>
      </c>
      <c r="J32" s="19" t="s">
        <v>6746</v>
      </c>
      <c r="K32" s="224" t="n">
        <v>1</v>
      </c>
      <c r="L32" s="224" t="s">
        <v>6610</v>
      </c>
      <c r="M32" s="6" t="s">
        <v>6747</v>
      </c>
      <c r="N32" s="224" t="s">
        <v>6612</v>
      </c>
      <c r="O32" s="28" t="s">
        <v>6613</v>
      </c>
      <c r="P32" s="28" t="s">
        <v>620</v>
      </c>
      <c r="Q32" s="28" t="s">
        <v>6778</v>
      </c>
      <c r="R32" s="28" t="s">
        <v>620</v>
      </c>
      <c r="S32" s="28" t="s">
        <v>6120</v>
      </c>
      <c r="T32" s="28" t="s">
        <v>620</v>
      </c>
      <c r="U32" s="28" t="s">
        <v>6750</v>
      </c>
      <c r="V32" s="6" t="s">
        <v>6779</v>
      </c>
      <c r="W32" s="19" t="s">
        <v>6780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4202</v>
      </c>
      <c r="B33" s="6" t="s">
        <v>6781</v>
      </c>
      <c r="C33" s="226" t="n">
        <v>288</v>
      </c>
      <c r="D33" s="224"/>
      <c r="E33" s="224"/>
      <c r="F33" s="28" t="s">
        <v>729</v>
      </c>
      <c r="G33" s="28" t="s">
        <v>620</v>
      </c>
      <c r="H33" s="28" t="s">
        <v>175</v>
      </c>
      <c r="I33" s="28" t="s">
        <v>6745</v>
      </c>
      <c r="J33" s="19" t="s">
        <v>6746</v>
      </c>
      <c r="K33" s="224" t="n">
        <v>3</v>
      </c>
      <c r="L33" s="224" t="s">
        <v>6610</v>
      </c>
      <c r="M33" s="6" t="s">
        <v>6747</v>
      </c>
      <c r="N33" s="224" t="s">
        <v>6748</v>
      </c>
      <c r="O33" s="28" t="s">
        <v>6613</v>
      </c>
      <c r="P33" s="28" t="s">
        <v>620</v>
      </c>
      <c r="Q33" s="28" t="s">
        <v>6749</v>
      </c>
      <c r="R33" s="28" t="s">
        <v>620</v>
      </c>
      <c r="S33" s="28" t="s">
        <v>620</v>
      </c>
      <c r="T33" s="28" t="s">
        <v>620</v>
      </c>
      <c r="U33" s="28" t="s">
        <v>6750</v>
      </c>
      <c r="V33" s="6" t="s">
        <v>6782</v>
      </c>
      <c r="W33" s="6" t="s">
        <v>620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4216</v>
      </c>
      <c r="B34" s="6" t="s">
        <v>6783</v>
      </c>
      <c r="C34" s="226" t="n">
        <v>22</v>
      </c>
      <c r="D34" s="224"/>
      <c r="E34" s="224"/>
      <c r="F34" s="28" t="s">
        <v>361</v>
      </c>
      <c r="G34" s="28" t="s">
        <v>6784</v>
      </c>
      <c r="H34" s="28" t="s">
        <v>175</v>
      </c>
      <c r="I34" s="28" t="s">
        <v>6745</v>
      </c>
      <c r="J34" s="19" t="s">
        <v>6746</v>
      </c>
      <c r="K34" s="224" t="n">
        <v>3</v>
      </c>
      <c r="L34" s="224" t="s">
        <v>6610</v>
      </c>
      <c r="M34" s="6" t="s">
        <v>6747</v>
      </c>
      <c r="N34" s="224" t="s">
        <v>6748</v>
      </c>
      <c r="O34" s="28" t="s">
        <v>6613</v>
      </c>
      <c r="P34" s="28" t="s">
        <v>620</v>
      </c>
      <c r="Q34" s="28" t="s">
        <v>6749</v>
      </c>
      <c r="R34" s="28" t="s">
        <v>620</v>
      </c>
      <c r="S34" s="28" t="s">
        <v>620</v>
      </c>
      <c r="T34" s="28" t="s">
        <v>620</v>
      </c>
      <c r="U34" s="28" t="s">
        <v>6750</v>
      </c>
      <c r="V34" s="6" t="s">
        <v>6785</v>
      </c>
      <c r="W34" s="6" t="s">
        <v>620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6786</v>
      </c>
      <c r="B35" s="6" t="s">
        <v>6787</v>
      </c>
      <c r="C35" s="226" t="n">
        <v>15000</v>
      </c>
      <c r="D35" s="224"/>
      <c r="E35" s="224"/>
      <c r="F35" s="28" t="s">
        <v>6788</v>
      </c>
      <c r="G35" s="28" t="s">
        <v>6789</v>
      </c>
      <c r="H35" s="28" t="s">
        <v>6699</v>
      </c>
      <c r="I35" s="28" t="s">
        <v>6745</v>
      </c>
      <c r="J35" s="19" t="s">
        <v>6746</v>
      </c>
      <c r="K35" s="224" t="n">
        <v>3</v>
      </c>
      <c r="L35" s="224" t="s">
        <v>6610</v>
      </c>
      <c r="M35" s="6" t="s">
        <v>6747</v>
      </c>
      <c r="N35" s="224" t="s">
        <v>6748</v>
      </c>
      <c r="O35" s="28" t="s">
        <v>6613</v>
      </c>
      <c r="P35" s="28" t="s">
        <v>620</v>
      </c>
      <c r="Q35" s="28" t="s">
        <v>6749</v>
      </c>
      <c r="R35" s="28" t="s">
        <v>620</v>
      </c>
      <c r="S35" s="28" t="s">
        <v>620</v>
      </c>
      <c r="T35" s="28" t="s">
        <v>620</v>
      </c>
      <c r="U35" s="28" t="s">
        <v>6750</v>
      </c>
      <c r="V35" s="6" t="s">
        <v>6790</v>
      </c>
      <c r="W35" s="6" t="s">
        <v>6791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4314</v>
      </c>
      <c r="B36" s="6" t="s">
        <v>6792</v>
      </c>
      <c r="C36" s="226" t="n">
        <v>3.9</v>
      </c>
      <c r="D36" s="224"/>
      <c r="E36" s="224"/>
      <c r="F36" s="28" t="s">
        <v>6793</v>
      </c>
      <c r="G36" s="224" t="s">
        <v>6794</v>
      </c>
      <c r="H36" s="28" t="s">
        <v>6795</v>
      </c>
      <c r="I36" s="28" t="s">
        <v>620</v>
      </c>
      <c r="J36" s="19" t="s">
        <v>6796</v>
      </c>
      <c r="K36" s="224" t="n">
        <v>3</v>
      </c>
      <c r="L36" s="224" t="s">
        <v>6717</v>
      </c>
      <c r="M36" s="19" t="s">
        <v>6797</v>
      </c>
      <c r="N36" s="28" t="s">
        <v>620</v>
      </c>
      <c r="O36" s="28" t="s">
        <v>6613</v>
      </c>
      <c r="P36" s="28" t="s">
        <v>620</v>
      </c>
      <c r="Q36" s="28" t="s">
        <v>6798</v>
      </c>
      <c r="R36" s="28" t="s">
        <v>620</v>
      </c>
      <c r="S36" s="28" t="s">
        <v>620</v>
      </c>
      <c r="T36" s="28" t="s">
        <v>620</v>
      </c>
      <c r="U36" s="28" t="s">
        <v>6799</v>
      </c>
      <c r="V36" s="6" t="s">
        <v>6800</v>
      </c>
      <c r="W36" s="6" t="s">
        <v>6801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4318</v>
      </c>
      <c r="B37" s="6" t="s">
        <v>6802</v>
      </c>
      <c r="C37" s="226" t="n">
        <v>3</v>
      </c>
      <c r="D37" s="224"/>
      <c r="E37" s="224"/>
      <c r="F37" s="28" t="s">
        <v>6793</v>
      </c>
      <c r="G37" s="224" t="s">
        <v>6794</v>
      </c>
      <c r="H37" s="28" t="s">
        <v>6803</v>
      </c>
      <c r="I37" s="28" t="s">
        <v>620</v>
      </c>
      <c r="J37" s="19" t="s">
        <v>6796</v>
      </c>
      <c r="K37" s="224" t="n">
        <v>3</v>
      </c>
      <c r="L37" s="224" t="s">
        <v>6717</v>
      </c>
      <c r="M37" s="19" t="s">
        <v>6797</v>
      </c>
      <c r="N37" s="28" t="s">
        <v>620</v>
      </c>
      <c r="O37" s="28" t="s">
        <v>6613</v>
      </c>
      <c r="P37" s="28" t="s">
        <v>620</v>
      </c>
      <c r="Q37" s="28" t="s">
        <v>6798</v>
      </c>
      <c r="R37" s="28" t="s">
        <v>620</v>
      </c>
      <c r="S37" s="28" t="s">
        <v>620</v>
      </c>
      <c r="T37" s="28" t="s">
        <v>620</v>
      </c>
      <c r="U37" s="28" t="s">
        <v>6799</v>
      </c>
      <c r="V37" s="6" t="s">
        <v>6804</v>
      </c>
      <c r="W37" s="6" t="s">
        <v>6805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4321</v>
      </c>
      <c r="B38" s="6" t="s">
        <v>6806</v>
      </c>
      <c r="C38" s="226" t="n">
        <v>2.5</v>
      </c>
      <c r="D38" s="224"/>
      <c r="E38" s="224"/>
      <c r="F38" s="28" t="s">
        <v>6793</v>
      </c>
      <c r="G38" s="224" t="s">
        <v>6794</v>
      </c>
      <c r="H38" s="28" t="s">
        <v>6807</v>
      </c>
      <c r="I38" s="28" t="s">
        <v>620</v>
      </c>
      <c r="J38" s="19" t="s">
        <v>6796</v>
      </c>
      <c r="K38" s="224" t="n">
        <v>3</v>
      </c>
      <c r="L38" s="224" t="s">
        <v>6717</v>
      </c>
      <c r="M38" s="19" t="s">
        <v>6797</v>
      </c>
      <c r="N38" s="28" t="s">
        <v>620</v>
      </c>
      <c r="O38" s="28" t="s">
        <v>6613</v>
      </c>
      <c r="P38" s="28" t="s">
        <v>620</v>
      </c>
      <c r="Q38" s="28" t="s">
        <v>6798</v>
      </c>
      <c r="R38" s="28" t="s">
        <v>620</v>
      </c>
      <c r="S38" s="28" t="s">
        <v>620</v>
      </c>
      <c r="T38" s="28" t="s">
        <v>620</v>
      </c>
      <c r="U38" s="28" t="s">
        <v>6799</v>
      </c>
      <c r="V38" s="6" t="s">
        <v>6808</v>
      </c>
      <c r="W38" s="6" t="s">
        <v>6809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4832</v>
      </c>
      <c r="B39" s="6" t="s">
        <v>6810</v>
      </c>
      <c r="C39" s="224"/>
      <c r="D39" s="226" t="n">
        <v>1</v>
      </c>
      <c r="E39" s="226" t="n">
        <v>2</v>
      </c>
      <c r="F39" s="28" t="s">
        <v>6793</v>
      </c>
      <c r="G39" s="224" t="s">
        <v>6794</v>
      </c>
      <c r="H39" s="28" t="s">
        <v>620</v>
      </c>
      <c r="I39" s="28" t="s">
        <v>620</v>
      </c>
      <c r="J39" s="19" t="s">
        <v>6796</v>
      </c>
      <c r="K39" s="224" t="n">
        <v>3</v>
      </c>
      <c r="L39" s="224" t="s">
        <v>6717</v>
      </c>
      <c r="M39" s="19" t="s">
        <v>6797</v>
      </c>
      <c r="N39" s="28" t="s">
        <v>620</v>
      </c>
      <c r="O39" s="28" t="s">
        <v>6613</v>
      </c>
      <c r="P39" s="28" t="s">
        <v>620</v>
      </c>
      <c r="Q39" s="28" t="s">
        <v>6798</v>
      </c>
      <c r="R39" s="28" t="s">
        <v>620</v>
      </c>
      <c r="S39" s="28" t="s">
        <v>620</v>
      </c>
      <c r="T39" s="28" t="s">
        <v>620</v>
      </c>
      <c r="U39" s="28" t="s">
        <v>6799</v>
      </c>
      <c r="V39" s="6" t="s">
        <v>620</v>
      </c>
      <c r="W39" s="6" t="s">
        <v>620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6811</v>
      </c>
      <c r="B40" s="6" t="s">
        <v>6812</v>
      </c>
      <c r="C40" s="226" t="n">
        <v>3600</v>
      </c>
      <c r="D40" s="224"/>
      <c r="E40" s="224"/>
      <c r="F40" s="28" t="s">
        <v>6788</v>
      </c>
      <c r="G40" s="28" t="s">
        <v>6813</v>
      </c>
      <c r="H40" s="28" t="s">
        <v>175</v>
      </c>
      <c r="I40" s="28" t="s">
        <v>6620</v>
      </c>
      <c r="J40" s="6" t="s">
        <v>6814</v>
      </c>
      <c r="K40" s="224" t="n">
        <v>2</v>
      </c>
      <c r="L40" s="224" t="s">
        <v>6610</v>
      </c>
      <c r="M40" s="6" t="s">
        <v>6815</v>
      </c>
      <c r="N40" s="224" t="s">
        <v>6816</v>
      </c>
      <c r="O40" s="28" t="s">
        <v>6613</v>
      </c>
      <c r="P40" s="28" t="s">
        <v>620</v>
      </c>
      <c r="Q40" s="28" t="s">
        <v>6817</v>
      </c>
      <c r="R40" s="28" t="s">
        <v>620</v>
      </c>
      <c r="S40" s="28" t="s">
        <v>620</v>
      </c>
      <c r="T40" s="28" t="s">
        <v>620</v>
      </c>
      <c r="U40" s="28" t="s">
        <v>6818</v>
      </c>
      <c r="V40" s="6" t="s">
        <v>6819</v>
      </c>
      <c r="W40" s="6" t="s">
        <v>6820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4356</v>
      </c>
      <c r="B41" s="6" t="s">
        <v>6821</v>
      </c>
      <c r="C41" s="226" t="n">
        <v>2520</v>
      </c>
      <c r="D41" s="224"/>
      <c r="E41" s="224"/>
      <c r="F41" s="28" t="s">
        <v>6788</v>
      </c>
      <c r="G41" s="28" t="s">
        <v>6813</v>
      </c>
      <c r="H41" s="28" t="s">
        <v>175</v>
      </c>
      <c r="I41" s="28" t="s">
        <v>6620</v>
      </c>
      <c r="J41" s="6" t="s">
        <v>6814</v>
      </c>
      <c r="K41" s="224" t="n">
        <v>2</v>
      </c>
      <c r="L41" s="224" t="s">
        <v>6610</v>
      </c>
      <c r="M41" s="6" t="s">
        <v>6815</v>
      </c>
      <c r="N41" s="224" t="s">
        <v>6816</v>
      </c>
      <c r="O41" s="28" t="s">
        <v>6613</v>
      </c>
      <c r="P41" s="28" t="s">
        <v>620</v>
      </c>
      <c r="Q41" s="28" t="s">
        <v>6817</v>
      </c>
      <c r="R41" s="28" t="s">
        <v>620</v>
      </c>
      <c r="S41" s="28" t="s">
        <v>620</v>
      </c>
      <c r="T41" s="28" t="s">
        <v>620</v>
      </c>
      <c r="U41" s="28" t="s">
        <v>6818</v>
      </c>
      <c r="V41" s="6" t="s">
        <v>6822</v>
      </c>
      <c r="W41" s="6" t="s">
        <v>6823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4346</v>
      </c>
      <c r="B42" s="6" t="s">
        <v>6824</v>
      </c>
      <c r="C42" s="226" t="n">
        <v>1260</v>
      </c>
      <c r="D42" s="224"/>
      <c r="E42" s="224"/>
      <c r="F42" s="28" t="s">
        <v>6788</v>
      </c>
      <c r="G42" s="28" t="s">
        <v>6813</v>
      </c>
      <c r="H42" s="28" t="s">
        <v>175</v>
      </c>
      <c r="I42" s="28" t="s">
        <v>6620</v>
      </c>
      <c r="J42" s="6" t="s">
        <v>6814</v>
      </c>
      <c r="K42" s="224" t="n">
        <v>2</v>
      </c>
      <c r="L42" s="224" t="s">
        <v>6610</v>
      </c>
      <c r="M42" s="6" t="s">
        <v>6815</v>
      </c>
      <c r="N42" s="224" t="s">
        <v>6816</v>
      </c>
      <c r="O42" s="28" t="s">
        <v>6613</v>
      </c>
      <c r="P42" s="28" t="s">
        <v>620</v>
      </c>
      <c r="Q42" s="28" t="s">
        <v>6817</v>
      </c>
      <c r="R42" s="28" t="s">
        <v>620</v>
      </c>
      <c r="S42" s="28" t="s">
        <v>620</v>
      </c>
      <c r="T42" s="28" t="s">
        <v>620</v>
      </c>
      <c r="U42" s="28" t="s">
        <v>6818</v>
      </c>
      <c r="V42" s="6" t="s">
        <v>6825</v>
      </c>
      <c r="W42" s="6" t="s">
        <v>6826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4334</v>
      </c>
      <c r="B43" s="6" t="s">
        <v>6827</v>
      </c>
      <c r="C43" s="226" t="n">
        <v>288</v>
      </c>
      <c r="D43" s="224"/>
      <c r="E43" s="224"/>
      <c r="F43" s="28" t="s">
        <v>6788</v>
      </c>
      <c r="G43" s="28" t="s">
        <v>6813</v>
      </c>
      <c r="H43" s="28" t="s">
        <v>175</v>
      </c>
      <c r="I43" s="28" t="s">
        <v>6620</v>
      </c>
      <c r="J43" s="6" t="s">
        <v>6814</v>
      </c>
      <c r="K43" s="224" t="n">
        <v>2</v>
      </c>
      <c r="L43" s="224" t="s">
        <v>6610</v>
      </c>
      <c r="M43" s="6" t="s">
        <v>6815</v>
      </c>
      <c r="N43" s="224" t="s">
        <v>6816</v>
      </c>
      <c r="O43" s="28" t="s">
        <v>6613</v>
      </c>
      <c r="P43" s="28" t="s">
        <v>620</v>
      </c>
      <c r="Q43" s="28" t="s">
        <v>6817</v>
      </c>
      <c r="R43" s="28" t="s">
        <v>620</v>
      </c>
      <c r="S43" s="28" t="s">
        <v>620</v>
      </c>
      <c r="T43" s="28" t="s">
        <v>620</v>
      </c>
      <c r="U43" s="28" t="s">
        <v>6818</v>
      </c>
      <c r="V43" s="6" t="s">
        <v>6828</v>
      </c>
      <c r="W43" s="6" t="s">
        <v>6829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4161</v>
      </c>
      <c r="B44" s="6" t="s">
        <v>6830</v>
      </c>
      <c r="C44" s="226" t="n">
        <v>1.979</v>
      </c>
      <c r="D44" s="224"/>
      <c r="E44" s="224"/>
      <c r="F44" s="28" t="s">
        <v>476</v>
      </c>
      <c r="G44" s="28" t="s">
        <v>6744</v>
      </c>
      <c r="H44" s="28" t="s">
        <v>172</v>
      </c>
      <c r="I44" s="28" t="s">
        <v>5880</v>
      </c>
      <c r="J44" s="6" t="s">
        <v>6831</v>
      </c>
      <c r="K44" s="224" t="n">
        <v>1</v>
      </c>
      <c r="L44" s="224" t="s">
        <v>6610</v>
      </c>
      <c r="M44" s="6" t="s">
        <v>6832</v>
      </c>
      <c r="N44" s="224" t="s">
        <v>6612</v>
      </c>
      <c r="O44" s="28" t="s">
        <v>6613</v>
      </c>
      <c r="P44" s="28" t="s">
        <v>620</v>
      </c>
      <c r="Q44" s="28" t="s">
        <v>6833</v>
      </c>
      <c r="R44" s="28" t="s">
        <v>620</v>
      </c>
      <c r="S44" s="28" t="s">
        <v>6120</v>
      </c>
      <c r="T44" s="28" t="s">
        <v>620</v>
      </c>
      <c r="U44" s="28" t="s">
        <v>6834</v>
      </c>
      <c r="V44" s="6" t="s">
        <v>6835</v>
      </c>
      <c r="W44" s="19" t="s">
        <v>6836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4195</v>
      </c>
      <c r="B45" s="6" t="s">
        <v>6837</v>
      </c>
      <c r="C45" s="226" t="n">
        <v>13.4</v>
      </c>
      <c r="D45" s="224"/>
      <c r="E45" s="224"/>
      <c r="F45" s="28" t="s">
        <v>6838</v>
      </c>
      <c r="G45" s="28" t="s">
        <v>6813</v>
      </c>
      <c r="H45" s="28" t="s">
        <v>173</v>
      </c>
      <c r="I45" s="28" t="s">
        <v>620</v>
      </c>
      <c r="J45" s="6" t="s">
        <v>6839</v>
      </c>
      <c r="K45" s="224" t="n">
        <v>3</v>
      </c>
      <c r="L45" s="224" t="s">
        <v>6610</v>
      </c>
      <c r="M45" s="6" t="s">
        <v>6840</v>
      </c>
      <c r="N45" s="224" t="s">
        <v>6748</v>
      </c>
      <c r="O45" s="28" t="s">
        <v>6613</v>
      </c>
      <c r="P45" s="28" t="s">
        <v>620</v>
      </c>
      <c r="Q45" s="28" t="s">
        <v>6841</v>
      </c>
      <c r="R45" s="28" t="s">
        <v>620</v>
      </c>
      <c r="S45" s="28" t="s">
        <v>620</v>
      </c>
      <c r="T45" s="28" t="s">
        <v>620</v>
      </c>
      <c r="U45" s="28" t="s">
        <v>6842</v>
      </c>
      <c r="V45" s="6" t="s">
        <v>6843</v>
      </c>
      <c r="W45" s="6" t="s">
        <v>6844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4329</v>
      </c>
      <c r="B46" s="6" t="s">
        <v>6845</v>
      </c>
      <c r="C46" s="226" t="n">
        <v>2.5</v>
      </c>
      <c r="D46" s="224"/>
      <c r="E46" s="224"/>
      <c r="F46" s="28" t="s">
        <v>476</v>
      </c>
      <c r="G46" s="28" t="s">
        <v>6744</v>
      </c>
      <c r="H46" s="28" t="s">
        <v>6846</v>
      </c>
      <c r="I46" s="28" t="s">
        <v>620</v>
      </c>
      <c r="J46" s="6" t="s">
        <v>6839</v>
      </c>
      <c r="K46" s="224" t="n">
        <v>3</v>
      </c>
      <c r="L46" s="224" t="s">
        <v>6610</v>
      </c>
      <c r="M46" s="6" t="s">
        <v>6840</v>
      </c>
      <c r="N46" s="224" t="s">
        <v>6748</v>
      </c>
      <c r="O46" s="28" t="s">
        <v>6613</v>
      </c>
      <c r="P46" s="28" t="s">
        <v>620</v>
      </c>
      <c r="Q46" s="28" t="s">
        <v>6841</v>
      </c>
      <c r="R46" s="28" t="s">
        <v>620</v>
      </c>
      <c r="S46" s="28" t="s">
        <v>620</v>
      </c>
      <c r="T46" s="28" t="s">
        <v>620</v>
      </c>
      <c r="U46" s="28" t="s">
        <v>6842</v>
      </c>
      <c r="V46" s="6" t="s">
        <v>6847</v>
      </c>
      <c r="W46" s="6" t="s">
        <v>620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4341</v>
      </c>
      <c r="B47" s="6" t="s">
        <v>6848</v>
      </c>
      <c r="C47" s="226" t="n">
        <v>5</v>
      </c>
      <c r="D47" s="224"/>
      <c r="E47" s="224"/>
      <c r="F47" s="28" t="s">
        <v>476</v>
      </c>
      <c r="G47" s="28" t="s">
        <v>6849</v>
      </c>
      <c r="H47" s="28" t="s">
        <v>6846</v>
      </c>
      <c r="I47" s="28" t="s">
        <v>620</v>
      </c>
      <c r="J47" s="6" t="s">
        <v>6839</v>
      </c>
      <c r="K47" s="224" t="n">
        <v>1</v>
      </c>
      <c r="L47" s="224" t="s">
        <v>6610</v>
      </c>
      <c r="M47" s="6" t="s">
        <v>6840</v>
      </c>
      <c r="N47" s="224" t="s">
        <v>6612</v>
      </c>
      <c r="O47" s="28" t="s">
        <v>6613</v>
      </c>
      <c r="P47" s="28" t="s">
        <v>620</v>
      </c>
      <c r="Q47" s="28" t="s">
        <v>6850</v>
      </c>
      <c r="R47" s="28" t="s">
        <v>620</v>
      </c>
      <c r="S47" s="28" t="s">
        <v>6120</v>
      </c>
      <c r="T47" s="28" t="s">
        <v>620</v>
      </c>
      <c r="U47" s="28" t="s">
        <v>6842</v>
      </c>
      <c r="V47" s="6" t="s">
        <v>6851</v>
      </c>
      <c r="W47" s="6" t="s">
        <v>6852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4219</v>
      </c>
      <c r="B48" s="6" t="s">
        <v>6853</v>
      </c>
      <c r="C48" s="226" t="n">
        <v>4600</v>
      </c>
      <c r="D48" s="224"/>
      <c r="E48" s="224"/>
      <c r="F48" s="28" t="s">
        <v>6854</v>
      </c>
      <c r="G48" s="28" t="s">
        <v>6789</v>
      </c>
      <c r="H48" s="28" t="s">
        <v>6699</v>
      </c>
      <c r="I48" s="28" t="s">
        <v>620</v>
      </c>
      <c r="J48" s="6" t="s">
        <v>6839</v>
      </c>
      <c r="K48" s="224" t="n">
        <v>3</v>
      </c>
      <c r="L48" s="224" t="s">
        <v>6610</v>
      </c>
      <c r="M48" s="6" t="s">
        <v>6840</v>
      </c>
      <c r="N48" s="224" t="s">
        <v>6748</v>
      </c>
      <c r="O48" s="28" t="s">
        <v>6613</v>
      </c>
      <c r="P48" s="28" t="s">
        <v>620</v>
      </c>
      <c r="Q48" s="28" t="s">
        <v>6841</v>
      </c>
      <c r="R48" s="28" t="s">
        <v>620</v>
      </c>
      <c r="S48" s="28" t="s">
        <v>620</v>
      </c>
      <c r="T48" s="28" t="s">
        <v>620</v>
      </c>
      <c r="U48" s="28" t="s">
        <v>6842</v>
      </c>
      <c r="V48" s="6" t="s">
        <v>6855</v>
      </c>
      <c r="W48" s="6" t="s">
        <v>6856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6857</v>
      </c>
      <c r="B49" s="6" t="s">
        <v>6858</v>
      </c>
      <c r="C49" s="226" t="n">
        <v>5000</v>
      </c>
      <c r="D49" s="224"/>
      <c r="E49" s="224"/>
      <c r="F49" s="28" t="s">
        <v>6788</v>
      </c>
      <c r="G49" s="28" t="s">
        <v>6789</v>
      </c>
      <c r="H49" s="28" t="s">
        <v>6699</v>
      </c>
      <c r="I49" s="28" t="s">
        <v>620</v>
      </c>
      <c r="J49" s="6" t="s">
        <v>6839</v>
      </c>
      <c r="K49" s="224" t="n">
        <v>3</v>
      </c>
      <c r="L49" s="224" t="s">
        <v>6610</v>
      </c>
      <c r="M49" s="6" t="s">
        <v>6840</v>
      </c>
      <c r="N49" s="224" t="s">
        <v>6748</v>
      </c>
      <c r="O49" s="28" t="s">
        <v>6700</v>
      </c>
      <c r="P49" s="28" t="s">
        <v>6701</v>
      </c>
      <c r="Q49" s="28" t="s">
        <v>6841</v>
      </c>
      <c r="R49" s="28" t="s">
        <v>620</v>
      </c>
      <c r="S49" s="28" t="s">
        <v>620</v>
      </c>
      <c r="T49" s="28" t="s">
        <v>620</v>
      </c>
      <c r="U49" s="28" t="s">
        <v>6842</v>
      </c>
      <c r="V49" s="6" t="s">
        <v>6859</v>
      </c>
      <c r="W49" s="6" t="s">
        <v>6860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2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4309</v>
      </c>
      <c r="B50" s="6" t="s">
        <v>6861</v>
      </c>
      <c r="C50" s="226" t="n">
        <v>1.8</v>
      </c>
      <c r="D50" s="224"/>
      <c r="E50" s="224"/>
      <c r="F50" s="28" t="s">
        <v>6862</v>
      </c>
      <c r="G50" s="224" t="s">
        <v>6698</v>
      </c>
      <c r="H50" s="28" t="s">
        <v>2299</v>
      </c>
      <c r="I50" s="28" t="s">
        <v>620</v>
      </c>
      <c r="J50" s="6" t="s">
        <v>6839</v>
      </c>
      <c r="K50" s="224" t="n">
        <v>3</v>
      </c>
      <c r="L50" s="224" t="s">
        <v>6610</v>
      </c>
      <c r="M50" s="6" t="s">
        <v>6840</v>
      </c>
      <c r="N50" s="224" t="s">
        <v>6748</v>
      </c>
      <c r="O50" s="28" t="s">
        <v>6613</v>
      </c>
      <c r="P50" s="28" t="s">
        <v>620</v>
      </c>
      <c r="Q50" s="28" t="s">
        <v>6841</v>
      </c>
      <c r="R50" s="28" t="s">
        <v>620</v>
      </c>
      <c r="S50" s="28" t="s">
        <v>620</v>
      </c>
      <c r="T50" s="28" t="s">
        <v>620</v>
      </c>
      <c r="U50" s="28" t="s">
        <v>6842</v>
      </c>
      <c r="V50" s="6" t="s">
        <v>6863</v>
      </c>
      <c r="W50" s="19" t="s">
        <v>6864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4050</v>
      </c>
      <c r="B51" s="6" t="s">
        <v>6865</v>
      </c>
      <c r="C51" s="226" t="n">
        <v>72</v>
      </c>
      <c r="D51" s="224"/>
      <c r="E51" s="224"/>
      <c r="F51" s="28" t="s">
        <v>731</v>
      </c>
      <c r="G51" s="28" t="s">
        <v>6866</v>
      </c>
      <c r="H51" s="28" t="s">
        <v>6867</v>
      </c>
      <c r="I51" s="28" t="s">
        <v>620</v>
      </c>
      <c r="J51" s="6" t="s">
        <v>6839</v>
      </c>
      <c r="K51" s="224" t="n">
        <v>1</v>
      </c>
      <c r="L51" s="224" t="s">
        <v>6610</v>
      </c>
      <c r="M51" s="6" t="s">
        <v>6868</v>
      </c>
      <c r="N51" s="224" t="s">
        <v>6612</v>
      </c>
      <c r="O51" s="28" t="s">
        <v>6613</v>
      </c>
      <c r="P51" s="28" t="s">
        <v>620</v>
      </c>
      <c r="Q51" s="28" t="s">
        <v>6869</v>
      </c>
      <c r="R51" s="28" t="s">
        <v>620</v>
      </c>
      <c r="S51" s="28" t="s">
        <v>6120</v>
      </c>
      <c r="T51" s="28" t="s">
        <v>620</v>
      </c>
      <c r="U51" s="28" t="s">
        <v>6842</v>
      </c>
      <c r="V51" s="6" t="s">
        <v>6870</v>
      </c>
      <c r="W51" s="19" t="s">
        <v>6871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4228</v>
      </c>
      <c r="B52" s="6" t="s">
        <v>6872</v>
      </c>
      <c r="C52" s="226" t="n">
        <v>0.9</v>
      </c>
      <c r="D52" s="224"/>
      <c r="E52" s="224"/>
      <c r="F52" s="28" t="s">
        <v>361</v>
      </c>
      <c r="G52" s="224" t="s">
        <v>6873</v>
      </c>
      <c r="H52" s="28" t="s">
        <v>6846</v>
      </c>
      <c r="I52" s="28" t="s">
        <v>620</v>
      </c>
      <c r="J52" s="6" t="s">
        <v>6839</v>
      </c>
      <c r="K52" s="224" t="n">
        <v>3</v>
      </c>
      <c r="L52" s="224" t="s">
        <v>6610</v>
      </c>
      <c r="M52" s="6" t="s">
        <v>6840</v>
      </c>
      <c r="N52" s="224" t="s">
        <v>6748</v>
      </c>
      <c r="O52" s="28" t="s">
        <v>6613</v>
      </c>
      <c r="P52" s="28" t="s">
        <v>620</v>
      </c>
      <c r="Q52" s="28" t="s">
        <v>6841</v>
      </c>
      <c r="R52" s="28" t="s">
        <v>620</v>
      </c>
      <c r="S52" s="28" t="s">
        <v>620</v>
      </c>
      <c r="T52" s="28" t="s">
        <v>620</v>
      </c>
      <c r="U52" s="28" t="s">
        <v>6842</v>
      </c>
      <c r="V52" s="6" t="s">
        <v>6874</v>
      </c>
      <c r="W52" s="19" t="s">
        <v>6875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4232</v>
      </c>
      <c r="B53" s="6" t="s">
        <v>6876</v>
      </c>
      <c r="C53" s="226" t="n">
        <v>1.8</v>
      </c>
      <c r="D53" s="224"/>
      <c r="E53" s="224"/>
      <c r="F53" s="28" t="s">
        <v>361</v>
      </c>
      <c r="G53" s="224" t="s">
        <v>6873</v>
      </c>
      <c r="H53" s="28" t="s">
        <v>2299</v>
      </c>
      <c r="I53" s="28" t="s">
        <v>620</v>
      </c>
      <c r="J53" s="6" t="s">
        <v>6839</v>
      </c>
      <c r="K53" s="224" t="n">
        <v>3</v>
      </c>
      <c r="L53" s="224" t="s">
        <v>6610</v>
      </c>
      <c r="M53" s="6" t="s">
        <v>6840</v>
      </c>
      <c r="N53" s="224" t="s">
        <v>6748</v>
      </c>
      <c r="O53" s="28" t="s">
        <v>6613</v>
      </c>
      <c r="P53" s="28" t="s">
        <v>620</v>
      </c>
      <c r="Q53" s="28" t="s">
        <v>6841</v>
      </c>
      <c r="R53" s="28" t="s">
        <v>620</v>
      </c>
      <c r="S53" s="28" t="s">
        <v>620</v>
      </c>
      <c r="T53" s="28" t="s">
        <v>620</v>
      </c>
      <c r="U53" s="28" t="s">
        <v>6842</v>
      </c>
      <c r="V53" s="6" t="s">
        <v>6877</v>
      </c>
      <c r="W53" s="6" t="s">
        <v>620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4270</v>
      </c>
      <c r="B54" s="6" t="s">
        <v>6878</v>
      </c>
      <c r="C54" s="226" t="n">
        <v>0.5625</v>
      </c>
      <c r="D54" s="224"/>
      <c r="E54" s="224"/>
      <c r="F54" s="28" t="s">
        <v>6879</v>
      </c>
      <c r="G54" s="224" t="s">
        <v>6880</v>
      </c>
      <c r="H54" s="28" t="s">
        <v>219</v>
      </c>
      <c r="I54" s="28" t="s">
        <v>620</v>
      </c>
      <c r="J54" s="6" t="s">
        <v>6839</v>
      </c>
      <c r="K54" s="224" t="n">
        <v>3</v>
      </c>
      <c r="L54" s="224" t="s">
        <v>6610</v>
      </c>
      <c r="M54" s="6" t="s">
        <v>6840</v>
      </c>
      <c r="N54" s="224" t="s">
        <v>6748</v>
      </c>
      <c r="O54" s="28" t="s">
        <v>6613</v>
      </c>
      <c r="P54" s="28" t="s">
        <v>620</v>
      </c>
      <c r="Q54" s="28" t="s">
        <v>6841</v>
      </c>
      <c r="R54" s="28" t="s">
        <v>620</v>
      </c>
      <c r="S54" s="28" t="s">
        <v>620</v>
      </c>
      <c r="T54" s="28" t="s">
        <v>620</v>
      </c>
      <c r="U54" s="28" t="s">
        <v>6842</v>
      </c>
      <c r="V54" s="6" t="s">
        <v>6881</v>
      </c>
      <c r="W54" s="6" t="s">
        <v>620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6882</v>
      </c>
      <c r="B55" s="6" t="s">
        <v>6883</v>
      </c>
      <c r="C55" s="226" t="n">
        <v>3</v>
      </c>
      <c r="D55" s="224"/>
      <c r="E55" s="224"/>
      <c r="F55" s="28" t="s">
        <v>6648</v>
      </c>
      <c r="G55" s="224" t="s">
        <v>6698</v>
      </c>
      <c r="H55" s="28" t="s">
        <v>173</v>
      </c>
      <c r="I55" s="28" t="s">
        <v>620</v>
      </c>
      <c r="J55" s="19" t="s">
        <v>6884</v>
      </c>
      <c r="K55" s="224" t="n">
        <v>3</v>
      </c>
      <c r="L55" s="224" t="s">
        <v>6717</v>
      </c>
      <c r="M55" s="6" t="s">
        <v>6885</v>
      </c>
      <c r="N55" s="224" t="s">
        <v>6623</v>
      </c>
      <c r="O55" s="28" t="s">
        <v>6613</v>
      </c>
      <c r="P55" s="28" t="s">
        <v>620</v>
      </c>
      <c r="Q55" s="28" t="s">
        <v>6886</v>
      </c>
      <c r="R55" s="28" t="s">
        <v>620</v>
      </c>
      <c r="S55" s="28" t="s">
        <v>620</v>
      </c>
      <c r="T55" s="28" t="s">
        <v>620</v>
      </c>
      <c r="U55" s="28" t="s">
        <v>6887</v>
      </c>
      <c r="V55" s="6" t="s">
        <v>620</v>
      </c>
      <c r="W55" s="19" t="s">
        <v>6888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2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4111</v>
      </c>
      <c r="B56" s="6" t="s">
        <v>6889</v>
      </c>
      <c r="C56" s="226" t="n">
        <v>4</v>
      </c>
      <c r="D56" s="224"/>
      <c r="E56" s="224"/>
      <c r="F56" s="28" t="s">
        <v>6648</v>
      </c>
      <c r="G56" s="224" t="s">
        <v>6890</v>
      </c>
      <c r="H56" s="28" t="s">
        <v>174</v>
      </c>
      <c r="I56" s="28" t="s">
        <v>6891</v>
      </c>
      <c r="J56" s="19" t="s">
        <v>6892</v>
      </c>
      <c r="K56" s="224" t="n">
        <v>2</v>
      </c>
      <c r="L56" s="224" t="s">
        <v>6717</v>
      </c>
      <c r="M56" s="6" t="s">
        <v>6885</v>
      </c>
      <c r="N56" s="224" t="s">
        <v>6623</v>
      </c>
      <c r="O56" s="28" t="s">
        <v>6613</v>
      </c>
      <c r="P56" s="28" t="s">
        <v>620</v>
      </c>
      <c r="Q56" s="28" t="s">
        <v>6893</v>
      </c>
      <c r="R56" s="28" t="s">
        <v>620</v>
      </c>
      <c r="S56" s="28" t="s">
        <v>3379</v>
      </c>
      <c r="T56" s="28" t="s">
        <v>620</v>
      </c>
      <c r="U56" s="28" t="s">
        <v>6887</v>
      </c>
      <c r="V56" s="6" t="s">
        <v>6894</v>
      </c>
      <c r="W56" s="19" t="s">
        <v>6895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4239</v>
      </c>
      <c r="B57" s="6" t="s">
        <v>6896</v>
      </c>
      <c r="C57" s="226" t="n">
        <v>8</v>
      </c>
      <c r="D57" s="224"/>
      <c r="E57" s="224"/>
      <c r="F57" s="28" t="s">
        <v>731</v>
      </c>
      <c r="G57" s="28" t="s">
        <v>6897</v>
      </c>
      <c r="H57" s="28" t="s">
        <v>6898</v>
      </c>
      <c r="I57" s="28" t="s">
        <v>620</v>
      </c>
      <c r="J57" s="6" t="s">
        <v>6899</v>
      </c>
      <c r="K57" s="224" t="n">
        <v>1</v>
      </c>
      <c r="L57" s="224" t="s">
        <v>6610</v>
      </c>
      <c r="M57" s="6" t="s">
        <v>6611</v>
      </c>
      <c r="N57" s="224" t="s">
        <v>6612</v>
      </c>
      <c r="O57" s="28" t="s">
        <v>6613</v>
      </c>
      <c r="P57" s="28" t="s">
        <v>620</v>
      </c>
      <c r="Q57" s="28" t="s">
        <v>6900</v>
      </c>
      <c r="R57" s="28" t="s">
        <v>620</v>
      </c>
      <c r="S57" s="28" t="s">
        <v>6120</v>
      </c>
      <c r="T57" s="28" t="s">
        <v>620</v>
      </c>
      <c r="U57" s="28" t="s">
        <v>6901</v>
      </c>
      <c r="V57" s="6" t="s">
        <v>620</v>
      </c>
      <c r="W57" s="6" t="s">
        <v>6902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6903</v>
      </c>
      <c r="B58" s="6" t="s">
        <v>6904</v>
      </c>
      <c r="C58" s="226" t="n">
        <v>144</v>
      </c>
      <c r="D58" s="224"/>
      <c r="E58" s="224"/>
      <c r="F58" s="224" t="s">
        <v>6905</v>
      </c>
      <c r="G58" s="28" t="s">
        <v>6906</v>
      </c>
      <c r="H58" s="28" t="s">
        <v>6699</v>
      </c>
      <c r="I58" s="28" t="s">
        <v>620</v>
      </c>
      <c r="J58" s="6" t="s">
        <v>6899</v>
      </c>
      <c r="K58" s="224" t="n">
        <v>3</v>
      </c>
      <c r="L58" s="224" t="s">
        <v>6610</v>
      </c>
      <c r="M58" s="6" t="s">
        <v>6907</v>
      </c>
      <c r="N58" s="224" t="s">
        <v>6748</v>
      </c>
      <c r="O58" s="28" t="s">
        <v>6700</v>
      </c>
      <c r="P58" s="28" t="s">
        <v>6701</v>
      </c>
      <c r="Q58" s="28" t="s">
        <v>6908</v>
      </c>
      <c r="R58" s="28" t="s">
        <v>620</v>
      </c>
      <c r="S58" s="28" t="s">
        <v>620</v>
      </c>
      <c r="T58" s="28" t="s">
        <v>620</v>
      </c>
      <c r="U58" s="28" t="s">
        <v>6901</v>
      </c>
      <c r="V58" s="6" t="s">
        <v>620</v>
      </c>
      <c r="W58" s="6" t="s">
        <v>6909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4268</v>
      </c>
      <c r="B59" s="6" t="s">
        <v>6910</v>
      </c>
      <c r="C59" s="226" t="n">
        <v>1</v>
      </c>
      <c r="D59" s="224"/>
      <c r="E59" s="224"/>
      <c r="F59" s="28" t="s">
        <v>6879</v>
      </c>
      <c r="G59" s="224" t="s">
        <v>6880</v>
      </c>
      <c r="H59" s="28" t="s">
        <v>218</v>
      </c>
      <c r="I59" s="28" t="s">
        <v>620</v>
      </c>
      <c r="J59" s="6" t="s">
        <v>6899</v>
      </c>
      <c r="K59" s="224" t="n">
        <v>3</v>
      </c>
      <c r="L59" s="224" t="s">
        <v>6717</v>
      </c>
      <c r="M59" s="19" t="s">
        <v>6911</v>
      </c>
      <c r="N59" s="224" t="s">
        <v>6748</v>
      </c>
      <c r="O59" s="28" t="s">
        <v>6613</v>
      </c>
      <c r="P59" s="28" t="s">
        <v>620</v>
      </c>
      <c r="Q59" s="28" t="s">
        <v>6908</v>
      </c>
      <c r="R59" s="28" t="s">
        <v>620</v>
      </c>
      <c r="S59" s="28" t="s">
        <v>620</v>
      </c>
      <c r="T59" s="28" t="s">
        <v>620</v>
      </c>
      <c r="U59" s="28" t="s">
        <v>6901</v>
      </c>
      <c r="V59" s="6" t="s">
        <v>620</v>
      </c>
      <c r="W59" s="6" t="s">
        <v>6912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4303</v>
      </c>
      <c r="B60" s="6" t="s">
        <v>6913</v>
      </c>
      <c r="C60" s="226" t="n">
        <v>700</v>
      </c>
      <c r="D60" s="224"/>
      <c r="E60" s="224"/>
      <c r="F60" s="28" t="s">
        <v>6914</v>
      </c>
      <c r="G60" s="28" t="s">
        <v>6915</v>
      </c>
      <c r="H60" s="28" t="s">
        <v>172</v>
      </c>
      <c r="I60" s="28" t="s">
        <v>620</v>
      </c>
      <c r="J60" s="6" t="s">
        <v>6899</v>
      </c>
      <c r="K60" s="224" t="n">
        <v>3</v>
      </c>
      <c r="L60" s="224" t="s">
        <v>6610</v>
      </c>
      <c r="M60" s="6" t="s">
        <v>6611</v>
      </c>
      <c r="N60" s="224" t="s">
        <v>6748</v>
      </c>
      <c r="O60" s="28" t="s">
        <v>6613</v>
      </c>
      <c r="P60" s="28" t="s">
        <v>620</v>
      </c>
      <c r="Q60" s="28" t="s">
        <v>6908</v>
      </c>
      <c r="R60" s="28" t="s">
        <v>620</v>
      </c>
      <c r="S60" s="28" t="s">
        <v>620</v>
      </c>
      <c r="T60" s="28" t="s">
        <v>620</v>
      </c>
      <c r="U60" s="28" t="s">
        <v>6901</v>
      </c>
      <c r="V60" s="6" t="s">
        <v>620</v>
      </c>
      <c r="W60" s="6" t="s">
        <v>6912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4305</v>
      </c>
      <c r="B61" s="6" t="s">
        <v>6916</v>
      </c>
      <c r="C61" s="226" t="n">
        <v>1200</v>
      </c>
      <c r="D61" s="224"/>
      <c r="E61" s="224"/>
      <c r="F61" s="28" t="s">
        <v>6914</v>
      </c>
      <c r="G61" s="224" t="s">
        <v>6917</v>
      </c>
      <c r="H61" s="28" t="s">
        <v>173</v>
      </c>
      <c r="I61" s="28" t="s">
        <v>620</v>
      </c>
      <c r="J61" s="6" t="s">
        <v>6899</v>
      </c>
      <c r="K61" s="224" t="n">
        <v>3</v>
      </c>
      <c r="L61" s="224" t="s">
        <v>6610</v>
      </c>
      <c r="M61" s="6" t="s">
        <v>6611</v>
      </c>
      <c r="N61" s="224" t="s">
        <v>6748</v>
      </c>
      <c r="O61" s="28" t="s">
        <v>6613</v>
      </c>
      <c r="P61" s="28" t="s">
        <v>620</v>
      </c>
      <c r="Q61" s="28" t="s">
        <v>6908</v>
      </c>
      <c r="R61" s="28" t="s">
        <v>620</v>
      </c>
      <c r="S61" s="28" t="s">
        <v>620</v>
      </c>
      <c r="T61" s="28" t="s">
        <v>620</v>
      </c>
      <c r="U61" s="28" t="s">
        <v>6901</v>
      </c>
      <c r="V61" s="6" t="s">
        <v>620</v>
      </c>
      <c r="W61" s="6" t="s">
        <v>6912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4307</v>
      </c>
      <c r="B62" s="6" t="s">
        <v>6918</v>
      </c>
      <c r="C62" s="226" t="n">
        <v>1400</v>
      </c>
      <c r="D62" s="224"/>
      <c r="E62" s="224"/>
      <c r="F62" s="28" t="s">
        <v>6914</v>
      </c>
      <c r="G62" s="224" t="s">
        <v>6917</v>
      </c>
      <c r="H62" s="28" t="s">
        <v>174</v>
      </c>
      <c r="I62" s="28" t="s">
        <v>620</v>
      </c>
      <c r="J62" s="6" t="s">
        <v>6899</v>
      </c>
      <c r="K62" s="224" t="n">
        <v>3</v>
      </c>
      <c r="L62" s="224" t="s">
        <v>6610</v>
      </c>
      <c r="M62" s="6" t="s">
        <v>6611</v>
      </c>
      <c r="N62" s="224" t="s">
        <v>6748</v>
      </c>
      <c r="O62" s="28" t="s">
        <v>6613</v>
      </c>
      <c r="P62" s="28" t="s">
        <v>620</v>
      </c>
      <c r="Q62" s="28" t="s">
        <v>6908</v>
      </c>
      <c r="R62" s="28" t="s">
        <v>620</v>
      </c>
      <c r="S62" s="28" t="s">
        <v>620</v>
      </c>
      <c r="T62" s="28" t="s">
        <v>620</v>
      </c>
      <c r="U62" s="28" t="s">
        <v>6901</v>
      </c>
      <c r="V62" s="6" t="s">
        <v>620</v>
      </c>
      <c r="W62" s="6" t="s">
        <v>6912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4213</v>
      </c>
      <c r="B63" s="6" t="s">
        <v>6919</v>
      </c>
      <c r="C63" s="226" t="n">
        <v>8</v>
      </c>
      <c r="D63" s="224"/>
      <c r="E63" s="224"/>
      <c r="F63" s="28" t="s">
        <v>361</v>
      </c>
      <c r="G63" s="28" t="s">
        <v>6803</v>
      </c>
      <c r="H63" s="28" t="s">
        <v>174</v>
      </c>
      <c r="I63" s="28" t="s">
        <v>620</v>
      </c>
      <c r="J63" s="6" t="s">
        <v>6899</v>
      </c>
      <c r="K63" s="224" t="n">
        <v>3</v>
      </c>
      <c r="L63" s="224" t="s">
        <v>6610</v>
      </c>
      <c r="M63" s="6" t="s">
        <v>6611</v>
      </c>
      <c r="N63" s="224" t="s">
        <v>6748</v>
      </c>
      <c r="O63" s="28" t="s">
        <v>6613</v>
      </c>
      <c r="P63" s="28" t="s">
        <v>620</v>
      </c>
      <c r="Q63" s="28" t="s">
        <v>6908</v>
      </c>
      <c r="R63" s="28" t="s">
        <v>620</v>
      </c>
      <c r="S63" s="28" t="s">
        <v>620</v>
      </c>
      <c r="T63" s="28" t="s">
        <v>620</v>
      </c>
      <c r="U63" s="28" t="s">
        <v>6901</v>
      </c>
      <c r="V63" s="6" t="s">
        <v>620</v>
      </c>
      <c r="W63" s="6" t="s">
        <v>6912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4224</v>
      </c>
      <c r="B64" s="6" t="s">
        <v>6920</v>
      </c>
      <c r="C64" s="226" t="n">
        <v>400</v>
      </c>
      <c r="D64" s="224"/>
      <c r="E64" s="224"/>
      <c r="F64" s="28" t="s">
        <v>6921</v>
      </c>
      <c r="G64" s="224" t="s">
        <v>6922</v>
      </c>
      <c r="H64" s="28" t="s">
        <v>172</v>
      </c>
      <c r="I64" s="28" t="s">
        <v>620</v>
      </c>
      <c r="J64" s="6" t="s">
        <v>6899</v>
      </c>
      <c r="K64" s="224" t="n">
        <v>3</v>
      </c>
      <c r="L64" s="224" t="s">
        <v>6610</v>
      </c>
      <c r="M64" s="6" t="s">
        <v>6611</v>
      </c>
      <c r="N64" s="224" t="s">
        <v>6748</v>
      </c>
      <c r="O64" s="28" t="s">
        <v>6613</v>
      </c>
      <c r="P64" s="28" t="s">
        <v>620</v>
      </c>
      <c r="Q64" s="28" t="s">
        <v>6908</v>
      </c>
      <c r="R64" s="28" t="s">
        <v>620</v>
      </c>
      <c r="S64" s="28" t="s">
        <v>620</v>
      </c>
      <c r="T64" s="28" t="s">
        <v>620</v>
      </c>
      <c r="U64" s="28" t="s">
        <v>6901</v>
      </c>
      <c r="V64" s="6" t="s">
        <v>620</v>
      </c>
      <c r="W64" s="6" t="s">
        <v>6912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4056</v>
      </c>
      <c r="B65" s="6" t="s">
        <v>6923</v>
      </c>
      <c r="C65" s="226" t="n">
        <v>72</v>
      </c>
      <c r="D65" s="224"/>
      <c r="E65" s="224"/>
      <c r="F65" s="224" t="s">
        <v>6905</v>
      </c>
      <c r="G65" s="224" t="s">
        <v>6924</v>
      </c>
      <c r="H65" s="28" t="s">
        <v>6925</v>
      </c>
      <c r="I65" s="28" t="s">
        <v>1224</v>
      </c>
      <c r="J65" s="6" t="s">
        <v>6926</v>
      </c>
      <c r="K65" s="224" t="n">
        <v>1</v>
      </c>
      <c r="L65" s="224" t="s">
        <v>6610</v>
      </c>
      <c r="M65" s="6" t="s">
        <v>6927</v>
      </c>
      <c r="N65" s="224" t="s">
        <v>6612</v>
      </c>
      <c r="O65" s="28" t="s">
        <v>6613</v>
      </c>
      <c r="P65" s="28" t="s">
        <v>620</v>
      </c>
      <c r="Q65" s="28" t="s">
        <v>6928</v>
      </c>
      <c r="R65" s="28" t="s">
        <v>620</v>
      </c>
      <c r="S65" s="28" t="s">
        <v>620</v>
      </c>
      <c r="T65" s="28" t="s">
        <v>620</v>
      </c>
      <c r="U65" s="28" t="s">
        <v>6929</v>
      </c>
      <c r="V65" s="6" t="s">
        <v>6930</v>
      </c>
      <c r="W65" s="6" t="s">
        <v>6931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4245</v>
      </c>
      <c r="B66" s="6" t="s">
        <v>6932</v>
      </c>
      <c r="C66" s="226" t="n">
        <v>576</v>
      </c>
      <c r="D66" s="224"/>
      <c r="E66" s="224"/>
      <c r="F66" s="28" t="s">
        <v>731</v>
      </c>
      <c r="G66" s="28" t="s">
        <v>6933</v>
      </c>
      <c r="H66" s="28" t="s">
        <v>6699</v>
      </c>
      <c r="I66" s="28" t="s">
        <v>1224</v>
      </c>
      <c r="J66" s="6" t="s">
        <v>6926</v>
      </c>
      <c r="K66" s="224" t="n">
        <v>1</v>
      </c>
      <c r="L66" s="224" t="s">
        <v>6610</v>
      </c>
      <c r="M66" s="6" t="s">
        <v>6934</v>
      </c>
      <c r="N66" s="224" t="s">
        <v>6612</v>
      </c>
      <c r="O66" s="28" t="s">
        <v>6613</v>
      </c>
      <c r="P66" s="28" t="s">
        <v>620</v>
      </c>
      <c r="Q66" s="28" t="s">
        <v>6928</v>
      </c>
      <c r="R66" s="28" t="s">
        <v>620</v>
      </c>
      <c r="S66" s="28" t="s">
        <v>620</v>
      </c>
      <c r="T66" s="28" t="s">
        <v>620</v>
      </c>
      <c r="U66" s="28" t="s">
        <v>6929</v>
      </c>
      <c r="V66" s="6" t="s">
        <v>6935</v>
      </c>
      <c r="W66" s="6" t="s">
        <v>6936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4170</v>
      </c>
      <c r="B67" s="6" t="s">
        <v>6937</v>
      </c>
      <c r="C67" s="226" t="n">
        <v>2520</v>
      </c>
      <c r="D67" s="224"/>
      <c r="E67" s="224"/>
      <c r="F67" s="28" t="s">
        <v>6938</v>
      </c>
      <c r="G67" s="28" t="s">
        <v>6939</v>
      </c>
      <c r="H67" s="28" t="s">
        <v>175</v>
      </c>
      <c r="I67" s="28" t="s">
        <v>6620</v>
      </c>
      <c r="J67" s="6" t="s">
        <v>6940</v>
      </c>
      <c r="K67" s="224" t="n">
        <v>1</v>
      </c>
      <c r="L67" s="224" t="s">
        <v>6610</v>
      </c>
      <c r="M67" s="6" t="s">
        <v>6941</v>
      </c>
      <c r="N67" s="224" t="s">
        <v>6612</v>
      </c>
      <c r="O67" s="28" t="s">
        <v>6613</v>
      </c>
      <c r="P67" s="28" t="s">
        <v>620</v>
      </c>
      <c r="Q67" s="28" t="s">
        <v>6942</v>
      </c>
      <c r="R67" s="28" t="s">
        <v>620</v>
      </c>
      <c r="S67" s="28" t="s">
        <v>620</v>
      </c>
      <c r="T67" s="28" t="s">
        <v>620</v>
      </c>
      <c r="U67" s="28" t="s">
        <v>6929</v>
      </c>
      <c r="V67" s="19" t="s">
        <v>6943</v>
      </c>
      <c r="W67" s="6" t="s">
        <v>6944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6945</v>
      </c>
      <c r="B68" s="6" t="s">
        <v>6946</v>
      </c>
      <c r="C68" s="226" t="n">
        <v>227</v>
      </c>
      <c r="D68" s="224"/>
      <c r="E68" s="224"/>
      <c r="F68" s="28" t="s">
        <v>6632</v>
      </c>
      <c r="G68" s="224" t="s">
        <v>6947</v>
      </c>
      <c r="H68" s="28" t="s">
        <v>175</v>
      </c>
      <c r="I68" s="28" t="s">
        <v>1224</v>
      </c>
      <c r="J68" s="6" t="s">
        <v>6948</v>
      </c>
      <c r="K68" s="224" t="n">
        <v>1</v>
      </c>
      <c r="L68" s="224" t="s">
        <v>6610</v>
      </c>
      <c r="M68" s="6" t="s">
        <v>6949</v>
      </c>
      <c r="N68" s="224" t="s">
        <v>6612</v>
      </c>
      <c r="O68" s="28" t="s">
        <v>6613</v>
      </c>
      <c r="P68" s="28" t="s">
        <v>620</v>
      </c>
      <c r="Q68" s="28" t="s">
        <v>6950</v>
      </c>
      <c r="R68" s="28" t="s">
        <v>620</v>
      </c>
      <c r="S68" s="28" t="s">
        <v>620</v>
      </c>
      <c r="T68" s="28" t="s">
        <v>620</v>
      </c>
      <c r="U68" s="28" t="s">
        <v>6929</v>
      </c>
      <c r="V68" s="19" t="s">
        <v>6951</v>
      </c>
      <c r="W68" s="6" t="s">
        <v>6952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6953</v>
      </c>
      <c r="B69" s="6" t="s">
        <v>6954</v>
      </c>
      <c r="C69" s="226" t="n">
        <v>4.3</v>
      </c>
      <c r="D69" s="198"/>
      <c r="E69" s="198"/>
      <c r="F69" s="28" t="s">
        <v>6648</v>
      </c>
      <c r="G69" s="198" t="s">
        <v>6955</v>
      </c>
      <c r="H69" s="28" t="s">
        <v>174</v>
      </c>
      <c r="I69" s="28" t="s">
        <v>6956</v>
      </c>
      <c r="J69" s="6" t="s">
        <v>6957</v>
      </c>
      <c r="K69" s="198" t="n">
        <v>2</v>
      </c>
      <c r="L69" s="198" t="s">
        <v>6610</v>
      </c>
      <c r="M69" s="228" t="s">
        <v>6958</v>
      </c>
      <c r="N69" s="198" t="s">
        <v>6623</v>
      </c>
      <c r="O69" s="28" t="s">
        <v>6659</v>
      </c>
      <c r="P69" s="28" t="s">
        <v>620</v>
      </c>
      <c r="Q69" s="28" t="s">
        <v>6959</v>
      </c>
      <c r="R69" s="28" t="s">
        <v>620</v>
      </c>
      <c r="S69" s="28" t="s">
        <v>620</v>
      </c>
      <c r="T69" s="28" t="s">
        <v>620</v>
      </c>
      <c r="U69" s="28" t="s">
        <v>6960</v>
      </c>
      <c r="V69" s="6" t="s">
        <v>6961</v>
      </c>
      <c r="W69" s="6" t="s">
        <v>6962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2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6963</v>
      </c>
      <c r="B70" s="6" t="s">
        <v>6964</v>
      </c>
      <c r="C70" s="226" t="n">
        <v>2</v>
      </c>
      <c r="D70" s="198"/>
      <c r="E70" s="198"/>
      <c r="F70" s="28" t="s">
        <v>103</v>
      </c>
      <c r="G70" s="198" t="s">
        <v>6965</v>
      </c>
      <c r="H70" s="28" t="s">
        <v>6966</v>
      </c>
      <c r="I70" s="28" t="s">
        <v>6967</v>
      </c>
      <c r="J70" s="6" t="s">
        <v>6968</v>
      </c>
      <c r="K70" s="198" t="n">
        <v>1</v>
      </c>
      <c r="L70" s="198" t="s">
        <v>6717</v>
      </c>
      <c r="M70" s="228" t="s">
        <v>6969</v>
      </c>
      <c r="N70" s="198" t="s">
        <v>6612</v>
      </c>
      <c r="O70" s="28" t="s">
        <v>6613</v>
      </c>
      <c r="P70" s="28" t="s">
        <v>620</v>
      </c>
      <c r="Q70" s="28" t="s">
        <v>6970</v>
      </c>
      <c r="R70" s="28" t="s">
        <v>620</v>
      </c>
      <c r="S70" s="28" t="s">
        <v>620</v>
      </c>
      <c r="T70" s="28" t="s">
        <v>620</v>
      </c>
      <c r="U70" s="28" t="s">
        <v>6960</v>
      </c>
      <c r="V70" s="228" t="s">
        <v>6971</v>
      </c>
      <c r="W70" s="6" t="s">
        <v>6972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2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6973</v>
      </c>
    </row>
    <row r="2" customFormat="false" ht="15" hidden="false" customHeight="true" outlineLevel="0" collapsed="false">
      <c r="A2" s="233" t="s">
        <v>6584</v>
      </c>
    </row>
    <row r="3" customFormat="false" ht="15" hidden="false" customHeight="true" outlineLevel="0" collapsed="false">
      <c r="A3" s="233" t="s">
        <v>6585</v>
      </c>
    </row>
    <row r="4" customFormat="false" ht="43.5" hidden="false" customHeight="true" outlineLevel="0" collapsed="false">
      <c r="A4" s="84" t="s">
        <v>6586</v>
      </c>
      <c r="B4" s="222" t="s">
        <v>2401</v>
      </c>
      <c r="C4" s="222" t="s">
        <v>6587</v>
      </c>
      <c r="D4" s="222" t="s">
        <v>1150</v>
      </c>
      <c r="E4" s="222" t="s">
        <v>1151</v>
      </c>
      <c r="F4" s="222" t="s">
        <v>83</v>
      </c>
      <c r="G4" s="222" t="s">
        <v>472</v>
      </c>
      <c r="H4" s="222" t="s">
        <v>6588</v>
      </c>
      <c r="I4" s="222" t="s">
        <v>5819</v>
      </c>
      <c r="J4" s="222" t="s">
        <v>5822</v>
      </c>
      <c r="K4" s="222" t="s">
        <v>5993</v>
      </c>
      <c r="L4" s="222" t="s">
        <v>6589</v>
      </c>
      <c r="M4" s="222" t="s">
        <v>6590</v>
      </c>
      <c r="N4" s="222" t="s">
        <v>6591</v>
      </c>
      <c r="O4" s="222" t="s">
        <v>607</v>
      </c>
      <c r="P4" s="222" t="s">
        <v>6592</v>
      </c>
      <c r="Q4" s="84" t="s">
        <v>6593</v>
      </c>
      <c r="R4" s="222" t="s">
        <v>6594</v>
      </c>
      <c r="S4" s="222" t="s">
        <v>6595</v>
      </c>
      <c r="T4" s="84" t="s">
        <v>6596</v>
      </c>
      <c r="U4" s="222" t="s">
        <v>6597</v>
      </c>
      <c r="V4" s="222" t="s">
        <v>6598</v>
      </c>
      <c r="W4" s="222" t="s">
        <v>6599</v>
      </c>
      <c r="X4" s="222" t="s">
        <v>6600</v>
      </c>
      <c r="Y4" s="222" t="s">
        <v>6601</v>
      </c>
      <c r="Z4" s="222" t="s">
        <v>6602</v>
      </c>
      <c r="AH4" s="83" t="s">
        <v>6603</v>
      </c>
    </row>
    <row r="5" customFormat="false" ht="29.25" hidden="false" customHeight="true" outlineLevel="0" collapsed="false">
      <c r="A5" s="28" t="s">
        <v>3911</v>
      </c>
      <c r="B5" s="6" t="s">
        <v>6974</v>
      </c>
      <c r="C5" s="224"/>
      <c r="D5" s="226" t="n">
        <v>0.04</v>
      </c>
      <c r="E5" s="226" t="n">
        <v>0.08</v>
      </c>
      <c r="F5" s="28" t="s">
        <v>99</v>
      </c>
      <c r="G5" s="224" t="s">
        <v>6975</v>
      </c>
      <c r="H5" s="28" t="s">
        <v>620</v>
      </c>
      <c r="I5" s="28" t="s">
        <v>6620</v>
      </c>
      <c r="J5" s="6" t="s">
        <v>6976</v>
      </c>
      <c r="K5" s="224" t="n">
        <v>3</v>
      </c>
      <c r="L5" s="224" t="s">
        <v>6610</v>
      </c>
      <c r="M5" s="6" t="s">
        <v>6977</v>
      </c>
      <c r="N5" s="224" t="s">
        <v>6623</v>
      </c>
      <c r="O5" s="28" t="s">
        <v>6613</v>
      </c>
      <c r="P5" s="28" t="s">
        <v>620</v>
      </c>
      <c r="Q5" s="28" t="s">
        <v>6978</v>
      </c>
      <c r="R5" s="28" t="s">
        <v>620</v>
      </c>
      <c r="S5" s="28" t="s">
        <v>620</v>
      </c>
      <c r="T5" s="28" t="s">
        <v>620</v>
      </c>
      <c r="U5" s="28" t="s">
        <v>6979</v>
      </c>
      <c r="V5" s="6" t="s">
        <v>6980</v>
      </c>
      <c r="W5" s="19" t="s">
        <v>6981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3916</v>
      </c>
      <c r="B6" s="19" t="s">
        <v>6982</v>
      </c>
      <c r="C6" s="226" t="n">
        <v>0.15</v>
      </c>
      <c r="D6" s="224"/>
      <c r="E6" s="224"/>
      <c r="F6" s="28" t="s">
        <v>99</v>
      </c>
      <c r="G6" s="224" t="s">
        <v>6983</v>
      </c>
      <c r="H6" s="28" t="s">
        <v>620</v>
      </c>
      <c r="I6" s="28" t="s">
        <v>6620</v>
      </c>
      <c r="J6" s="6" t="s">
        <v>6976</v>
      </c>
      <c r="K6" s="224" t="n">
        <v>3</v>
      </c>
      <c r="L6" s="224" t="s">
        <v>6610</v>
      </c>
      <c r="M6" s="6" t="s">
        <v>6977</v>
      </c>
      <c r="N6" s="224" t="s">
        <v>6623</v>
      </c>
      <c r="O6" s="28" t="s">
        <v>6613</v>
      </c>
      <c r="P6" s="28" t="s">
        <v>620</v>
      </c>
      <c r="Q6" s="28" t="s">
        <v>6978</v>
      </c>
      <c r="R6" s="28" t="s">
        <v>620</v>
      </c>
      <c r="S6" s="28" t="s">
        <v>620</v>
      </c>
      <c r="T6" s="28" t="s">
        <v>620</v>
      </c>
      <c r="U6" s="28" t="s">
        <v>6979</v>
      </c>
      <c r="V6" s="6" t="s">
        <v>6984</v>
      </c>
      <c r="W6" s="6" t="s">
        <v>6985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2810</v>
      </c>
      <c r="B7" s="19" t="s">
        <v>6986</v>
      </c>
      <c r="C7" s="226" t="n">
        <v>11.3</v>
      </c>
      <c r="D7" s="224"/>
      <c r="E7" s="224"/>
      <c r="F7" s="28" t="s">
        <v>120</v>
      </c>
      <c r="G7" s="224" t="s">
        <v>6987</v>
      </c>
      <c r="H7" s="224" t="s">
        <v>6988</v>
      </c>
      <c r="I7" s="28" t="s">
        <v>6620</v>
      </c>
      <c r="J7" s="6" t="s">
        <v>6989</v>
      </c>
      <c r="K7" s="224" t="n">
        <v>3</v>
      </c>
      <c r="L7" s="224" t="s">
        <v>6717</v>
      </c>
      <c r="M7" s="6" t="s">
        <v>6990</v>
      </c>
      <c r="N7" s="224" t="s">
        <v>6623</v>
      </c>
      <c r="O7" s="28" t="s">
        <v>6613</v>
      </c>
      <c r="P7" s="28" t="s">
        <v>620</v>
      </c>
      <c r="Q7" s="28" t="s">
        <v>4799</v>
      </c>
      <c r="R7" s="28" t="s">
        <v>620</v>
      </c>
      <c r="S7" s="28" t="s">
        <v>620</v>
      </c>
      <c r="T7" s="28" t="s">
        <v>620</v>
      </c>
      <c r="U7" s="28" t="s">
        <v>6991</v>
      </c>
      <c r="V7" s="6" t="s">
        <v>6992</v>
      </c>
      <c r="W7" s="6" t="s">
        <v>6993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6994</v>
      </c>
      <c r="B8" s="19" t="s">
        <v>6995</v>
      </c>
      <c r="C8" s="224"/>
      <c r="D8" s="226" t="n">
        <v>0.07</v>
      </c>
      <c r="E8" s="226" t="n">
        <v>0.1</v>
      </c>
      <c r="F8" s="28" t="s">
        <v>99</v>
      </c>
      <c r="G8" s="224" t="s">
        <v>6996</v>
      </c>
      <c r="H8" s="224" t="s">
        <v>6997</v>
      </c>
      <c r="I8" s="28" t="s">
        <v>6620</v>
      </c>
      <c r="J8" s="6" t="s">
        <v>6989</v>
      </c>
      <c r="K8" s="224" t="n">
        <v>3</v>
      </c>
      <c r="L8" s="224" t="s">
        <v>6717</v>
      </c>
      <c r="M8" s="6" t="s">
        <v>6990</v>
      </c>
      <c r="N8" s="224" t="s">
        <v>6623</v>
      </c>
      <c r="O8" s="28" t="s">
        <v>6613</v>
      </c>
      <c r="P8" s="28" t="s">
        <v>620</v>
      </c>
      <c r="Q8" s="28" t="s">
        <v>4799</v>
      </c>
      <c r="R8" s="28" t="s">
        <v>620</v>
      </c>
      <c r="S8" s="28" t="s">
        <v>620</v>
      </c>
      <c r="T8" s="28" t="s">
        <v>620</v>
      </c>
      <c r="U8" s="28" t="s">
        <v>6991</v>
      </c>
      <c r="V8" s="6" t="s">
        <v>6992</v>
      </c>
      <c r="W8" s="6" t="s">
        <v>620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6998</v>
      </c>
      <c r="B9" s="19" t="s">
        <v>6999</v>
      </c>
      <c r="C9" s="226" t="n">
        <v>0.0858</v>
      </c>
      <c r="D9" s="224"/>
      <c r="E9" s="224"/>
      <c r="F9" s="28" t="s">
        <v>109</v>
      </c>
      <c r="G9" s="224" t="s">
        <v>7000</v>
      </c>
      <c r="H9" s="224" t="s">
        <v>1213</v>
      </c>
      <c r="I9" s="28" t="s">
        <v>6650</v>
      </c>
      <c r="J9" s="6" t="s">
        <v>7001</v>
      </c>
      <c r="K9" s="224" t="n">
        <v>2</v>
      </c>
      <c r="L9" s="224" t="s">
        <v>6717</v>
      </c>
      <c r="M9" s="6" t="s">
        <v>7002</v>
      </c>
      <c r="N9" s="224" t="s">
        <v>7003</v>
      </c>
      <c r="O9" s="28" t="s">
        <v>6613</v>
      </c>
      <c r="P9" s="28" t="s">
        <v>620</v>
      </c>
      <c r="Q9" s="28" t="s">
        <v>4811</v>
      </c>
      <c r="R9" s="28" t="s">
        <v>620</v>
      </c>
      <c r="S9" s="28" t="s">
        <v>620</v>
      </c>
      <c r="T9" s="28" t="s">
        <v>620</v>
      </c>
      <c r="U9" s="28" t="s">
        <v>7004</v>
      </c>
      <c r="V9" s="6" t="s">
        <v>620</v>
      </c>
      <c r="W9" s="6" t="s">
        <v>620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3904</v>
      </c>
      <c r="B10" s="19" t="s">
        <v>7005</v>
      </c>
      <c r="C10" s="226" t="n">
        <v>0.0871</v>
      </c>
      <c r="D10" s="224"/>
      <c r="E10" s="224"/>
      <c r="F10" s="28" t="s">
        <v>109</v>
      </c>
      <c r="G10" s="224" t="s">
        <v>7000</v>
      </c>
      <c r="H10" s="224" t="s">
        <v>1213</v>
      </c>
      <c r="I10" s="28" t="s">
        <v>6715</v>
      </c>
      <c r="J10" s="6" t="s">
        <v>7001</v>
      </c>
      <c r="K10" s="224" t="n">
        <v>2</v>
      </c>
      <c r="L10" s="224" t="s">
        <v>6717</v>
      </c>
      <c r="M10" s="6" t="s">
        <v>7002</v>
      </c>
      <c r="N10" s="224" t="s">
        <v>7003</v>
      </c>
      <c r="O10" s="28" t="s">
        <v>6613</v>
      </c>
      <c r="P10" s="28" t="s">
        <v>620</v>
      </c>
      <c r="Q10" s="28" t="s">
        <v>4811</v>
      </c>
      <c r="R10" s="28" t="s">
        <v>620</v>
      </c>
      <c r="S10" s="28" t="s">
        <v>620</v>
      </c>
      <c r="T10" s="28" t="s">
        <v>620</v>
      </c>
      <c r="U10" s="28" t="s">
        <v>7004</v>
      </c>
      <c r="V10" s="6" t="s">
        <v>7006</v>
      </c>
      <c r="W10" s="19" t="s">
        <v>7007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4018</v>
      </c>
      <c r="B11" s="6" t="s">
        <v>7008</v>
      </c>
      <c r="C11" s="226" t="n">
        <v>6</v>
      </c>
      <c r="D11" s="224"/>
      <c r="E11" s="224"/>
      <c r="F11" s="224" t="s">
        <v>134</v>
      </c>
      <c r="G11" s="224" t="s">
        <v>7009</v>
      </c>
      <c r="H11" s="28" t="s">
        <v>7010</v>
      </c>
      <c r="I11" s="28" t="s">
        <v>6745</v>
      </c>
      <c r="J11" s="6" t="s">
        <v>7011</v>
      </c>
      <c r="K11" s="224" t="n">
        <v>2</v>
      </c>
      <c r="L11" s="224" t="s">
        <v>6610</v>
      </c>
      <c r="M11" s="19" t="s">
        <v>7012</v>
      </c>
      <c r="N11" s="224" t="s">
        <v>6623</v>
      </c>
      <c r="O11" s="28" t="s">
        <v>6613</v>
      </c>
      <c r="P11" s="28" t="s">
        <v>620</v>
      </c>
      <c r="Q11" s="28" t="s">
        <v>4823</v>
      </c>
      <c r="R11" s="28" t="s">
        <v>620</v>
      </c>
      <c r="S11" s="28" t="s">
        <v>620</v>
      </c>
      <c r="T11" s="28" t="s">
        <v>620</v>
      </c>
      <c r="U11" s="28" t="s">
        <v>7013</v>
      </c>
      <c r="V11" s="6" t="s">
        <v>7014</v>
      </c>
      <c r="W11" s="6" t="s">
        <v>7015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4025</v>
      </c>
      <c r="B12" s="6" t="s">
        <v>7016</v>
      </c>
      <c r="C12" s="226" t="n">
        <v>4</v>
      </c>
      <c r="D12" s="224"/>
      <c r="E12" s="224"/>
      <c r="F12" s="224" t="s">
        <v>134</v>
      </c>
      <c r="G12" s="224" t="s">
        <v>7009</v>
      </c>
      <c r="H12" s="28" t="s">
        <v>7017</v>
      </c>
      <c r="I12" s="28" t="s">
        <v>6745</v>
      </c>
      <c r="J12" s="6" t="s">
        <v>7011</v>
      </c>
      <c r="K12" s="224" t="n">
        <v>2</v>
      </c>
      <c r="L12" s="224" t="s">
        <v>6610</v>
      </c>
      <c r="M12" s="19" t="s">
        <v>7012</v>
      </c>
      <c r="N12" s="224" t="s">
        <v>6623</v>
      </c>
      <c r="O12" s="28" t="s">
        <v>6613</v>
      </c>
      <c r="P12" s="28" t="s">
        <v>620</v>
      </c>
      <c r="Q12" s="28" t="s">
        <v>4823</v>
      </c>
      <c r="R12" s="28" t="s">
        <v>620</v>
      </c>
      <c r="S12" s="28" t="s">
        <v>620</v>
      </c>
      <c r="T12" s="28" t="s">
        <v>620</v>
      </c>
      <c r="U12" s="28" t="s">
        <v>7013</v>
      </c>
      <c r="V12" s="6" t="s">
        <v>7018</v>
      </c>
      <c r="W12" s="6" t="s">
        <v>620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7019</v>
      </c>
      <c r="B13" s="6" t="s">
        <v>7020</v>
      </c>
      <c r="C13" s="226" t="n">
        <v>5</v>
      </c>
      <c r="D13" s="224"/>
      <c r="E13" s="224"/>
      <c r="F13" s="224" t="s">
        <v>134</v>
      </c>
      <c r="G13" s="224" t="s">
        <v>7009</v>
      </c>
      <c r="H13" s="28" t="s">
        <v>7021</v>
      </c>
      <c r="I13" s="28" t="s">
        <v>6745</v>
      </c>
      <c r="J13" s="6" t="s">
        <v>7011</v>
      </c>
      <c r="K13" s="224" t="n">
        <v>2</v>
      </c>
      <c r="L13" s="224" t="s">
        <v>6610</v>
      </c>
      <c r="M13" s="19" t="s">
        <v>7012</v>
      </c>
      <c r="N13" s="224" t="s">
        <v>6623</v>
      </c>
      <c r="O13" s="28" t="s">
        <v>6613</v>
      </c>
      <c r="P13" s="28" t="s">
        <v>620</v>
      </c>
      <c r="Q13" s="28" t="s">
        <v>4823</v>
      </c>
      <c r="R13" s="28" t="s">
        <v>620</v>
      </c>
      <c r="S13" s="28" t="s">
        <v>620</v>
      </c>
      <c r="T13" s="28" t="s">
        <v>620</v>
      </c>
      <c r="U13" s="28" t="s">
        <v>7013</v>
      </c>
      <c r="V13" s="6" t="s">
        <v>620</v>
      </c>
      <c r="W13" s="6" t="s">
        <v>620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2794</v>
      </c>
      <c r="B14" s="19" t="s">
        <v>7022</v>
      </c>
      <c r="C14" s="224"/>
      <c r="D14" s="226" t="n">
        <v>50</v>
      </c>
      <c r="E14" s="226" t="n">
        <v>60</v>
      </c>
      <c r="F14" s="28" t="s">
        <v>2782</v>
      </c>
      <c r="G14" s="28" t="s">
        <v>7023</v>
      </c>
      <c r="H14" s="28" t="s">
        <v>620</v>
      </c>
      <c r="I14" s="28" t="s">
        <v>7024</v>
      </c>
      <c r="J14" s="6" t="s">
        <v>7025</v>
      </c>
      <c r="K14" s="224" t="n">
        <v>3</v>
      </c>
      <c r="L14" s="224" t="s">
        <v>6610</v>
      </c>
      <c r="M14" s="6" t="s">
        <v>7026</v>
      </c>
      <c r="N14" s="224" t="s">
        <v>6623</v>
      </c>
      <c r="O14" s="28" t="s">
        <v>6613</v>
      </c>
      <c r="P14" s="28" t="s">
        <v>620</v>
      </c>
      <c r="Q14" s="28" t="s">
        <v>7027</v>
      </c>
      <c r="R14" s="28" t="s">
        <v>620</v>
      </c>
      <c r="S14" s="28" t="s">
        <v>620</v>
      </c>
      <c r="T14" s="28" t="s">
        <v>620</v>
      </c>
      <c r="U14" s="28" t="s">
        <v>7028</v>
      </c>
      <c r="V14" s="6" t="s">
        <v>7029</v>
      </c>
      <c r="W14" s="6" t="s">
        <v>620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2801</v>
      </c>
      <c r="B15" s="19" t="s">
        <v>7030</v>
      </c>
      <c r="C15" s="226" t="n">
        <v>35</v>
      </c>
      <c r="D15" s="224"/>
      <c r="E15" s="224"/>
      <c r="F15" s="28" t="s">
        <v>2782</v>
      </c>
      <c r="G15" s="28" t="s">
        <v>7023</v>
      </c>
      <c r="H15" s="28" t="s">
        <v>620</v>
      </c>
      <c r="I15" s="28" t="s">
        <v>7024</v>
      </c>
      <c r="J15" s="6" t="s">
        <v>7025</v>
      </c>
      <c r="K15" s="224" t="n">
        <v>3</v>
      </c>
      <c r="L15" s="224" t="s">
        <v>6610</v>
      </c>
      <c r="M15" s="6" t="s">
        <v>7026</v>
      </c>
      <c r="N15" s="224" t="s">
        <v>6623</v>
      </c>
      <c r="O15" s="28" t="s">
        <v>6613</v>
      </c>
      <c r="P15" s="28" t="s">
        <v>620</v>
      </c>
      <c r="Q15" s="28" t="s">
        <v>7027</v>
      </c>
      <c r="R15" s="28" t="s">
        <v>620</v>
      </c>
      <c r="S15" s="28" t="s">
        <v>620</v>
      </c>
      <c r="T15" s="28" t="s">
        <v>620</v>
      </c>
      <c r="U15" s="28" t="s">
        <v>7028</v>
      </c>
      <c r="V15" s="6" t="s">
        <v>7031</v>
      </c>
      <c r="W15" s="6" t="s">
        <v>620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2834</v>
      </c>
      <c r="B16" s="6" t="s">
        <v>7032</v>
      </c>
      <c r="C16" s="226" t="n">
        <v>2.21</v>
      </c>
      <c r="D16" s="224"/>
      <c r="E16" s="224"/>
      <c r="F16" s="28" t="s">
        <v>852</v>
      </c>
      <c r="G16" s="224" t="s">
        <v>7033</v>
      </c>
      <c r="H16" s="28" t="s">
        <v>173</v>
      </c>
      <c r="I16" s="28" t="s">
        <v>6715</v>
      </c>
      <c r="J16" s="6" t="s">
        <v>7034</v>
      </c>
      <c r="K16" s="224" t="n">
        <v>2</v>
      </c>
      <c r="L16" s="224" t="s">
        <v>6610</v>
      </c>
      <c r="M16" s="6" t="s">
        <v>7035</v>
      </c>
      <c r="N16" s="224" t="s">
        <v>7036</v>
      </c>
      <c r="O16" s="28" t="s">
        <v>6613</v>
      </c>
      <c r="P16" s="28" t="s">
        <v>620</v>
      </c>
      <c r="Q16" s="28" t="s">
        <v>7037</v>
      </c>
      <c r="R16" s="28" t="s">
        <v>620</v>
      </c>
      <c r="S16" s="28" t="s">
        <v>620</v>
      </c>
      <c r="T16" s="28" t="s">
        <v>620</v>
      </c>
      <c r="U16" s="28" t="s">
        <v>7038</v>
      </c>
      <c r="V16" s="6" t="s">
        <v>7039</v>
      </c>
      <c r="W16" s="19" t="s">
        <v>7040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2838</v>
      </c>
      <c r="B17" s="6" t="s">
        <v>7041</v>
      </c>
      <c r="C17" s="226" t="n">
        <v>2.65</v>
      </c>
      <c r="D17" s="224"/>
      <c r="E17" s="224"/>
      <c r="F17" s="28" t="s">
        <v>852</v>
      </c>
      <c r="G17" s="224" t="s">
        <v>7033</v>
      </c>
      <c r="H17" s="28" t="s">
        <v>174</v>
      </c>
      <c r="I17" s="28" t="s">
        <v>6715</v>
      </c>
      <c r="J17" s="6" t="s">
        <v>7034</v>
      </c>
      <c r="K17" s="224" t="n">
        <v>2</v>
      </c>
      <c r="L17" s="224" t="s">
        <v>6610</v>
      </c>
      <c r="M17" s="6" t="s">
        <v>7035</v>
      </c>
      <c r="N17" s="224" t="s">
        <v>7036</v>
      </c>
      <c r="O17" s="28" t="s">
        <v>6613</v>
      </c>
      <c r="P17" s="28" t="s">
        <v>620</v>
      </c>
      <c r="Q17" s="28" t="s">
        <v>7037</v>
      </c>
      <c r="R17" s="28" t="s">
        <v>620</v>
      </c>
      <c r="S17" s="28" t="s">
        <v>620</v>
      </c>
      <c r="T17" s="28" t="s">
        <v>620</v>
      </c>
      <c r="U17" s="28" t="s">
        <v>7038</v>
      </c>
      <c r="V17" s="6" t="s">
        <v>7042</v>
      </c>
      <c r="W17" s="19" t="s">
        <v>7040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3203</v>
      </c>
      <c r="B18" s="228" t="s">
        <v>7043</v>
      </c>
      <c r="C18" s="226" t="n">
        <v>29</v>
      </c>
      <c r="D18" s="198"/>
      <c r="E18" s="198"/>
      <c r="F18" s="28" t="s">
        <v>3199</v>
      </c>
      <c r="G18" s="198" t="s">
        <v>7044</v>
      </c>
      <c r="H18" s="28" t="s">
        <v>7045</v>
      </c>
      <c r="I18" s="28" t="s">
        <v>7046</v>
      </c>
      <c r="J18" s="6" t="s">
        <v>7047</v>
      </c>
      <c r="K18" s="198" t="n">
        <v>1</v>
      </c>
      <c r="L18" s="198" t="s">
        <v>6610</v>
      </c>
      <c r="M18" s="228" t="s">
        <v>7048</v>
      </c>
      <c r="N18" s="198" t="s">
        <v>6612</v>
      </c>
      <c r="O18" s="28" t="s">
        <v>6613</v>
      </c>
      <c r="P18" s="28" t="s">
        <v>620</v>
      </c>
      <c r="Q18" s="28" t="s">
        <v>7049</v>
      </c>
      <c r="R18" s="28" t="s">
        <v>620</v>
      </c>
      <c r="S18" s="28" t="s">
        <v>620</v>
      </c>
      <c r="T18" s="28" t="s">
        <v>620</v>
      </c>
      <c r="U18" s="28" t="s">
        <v>6960</v>
      </c>
      <c r="V18" s="6" t="s">
        <v>7050</v>
      </c>
      <c r="W18" s="6" t="s">
        <v>7051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5560</v>
      </c>
      <c r="B19" s="6" t="s">
        <v>7052</v>
      </c>
      <c r="C19" s="226" t="n">
        <v>3</v>
      </c>
      <c r="D19" s="198"/>
      <c r="E19" s="198"/>
      <c r="F19" s="198" t="s">
        <v>134</v>
      </c>
      <c r="G19" s="198" t="s">
        <v>7053</v>
      </c>
      <c r="H19" s="28" t="s">
        <v>7054</v>
      </c>
      <c r="I19" s="28" t="s">
        <v>7055</v>
      </c>
      <c r="J19" s="6" t="s">
        <v>7056</v>
      </c>
      <c r="K19" s="198" t="n">
        <v>1</v>
      </c>
      <c r="L19" s="198" t="s">
        <v>6610</v>
      </c>
      <c r="M19" s="228" t="s">
        <v>7057</v>
      </c>
      <c r="N19" s="198" t="s">
        <v>6612</v>
      </c>
      <c r="O19" s="28" t="s">
        <v>6613</v>
      </c>
      <c r="P19" s="28" t="s">
        <v>620</v>
      </c>
      <c r="Q19" s="28" t="s">
        <v>7058</v>
      </c>
      <c r="R19" s="28" t="s">
        <v>7059</v>
      </c>
      <c r="S19" s="28" t="s">
        <v>620</v>
      </c>
      <c r="T19" s="28" t="s">
        <v>620</v>
      </c>
      <c r="U19" s="28" t="s">
        <v>6960</v>
      </c>
      <c r="V19" s="6" t="s">
        <v>7060</v>
      </c>
      <c r="W19" s="6" t="s">
        <v>7061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7059</v>
      </c>
      <c r="B20" s="6" t="s">
        <v>7062</v>
      </c>
      <c r="C20" s="226" t="n">
        <v>3</v>
      </c>
      <c r="D20" s="198"/>
      <c r="E20" s="198"/>
      <c r="F20" s="198" t="s">
        <v>134</v>
      </c>
      <c r="G20" s="198" t="s">
        <v>7063</v>
      </c>
      <c r="H20" s="28" t="s">
        <v>7064</v>
      </c>
      <c r="I20" s="28" t="s">
        <v>3379</v>
      </c>
      <c r="J20" s="6" t="s">
        <v>7065</v>
      </c>
      <c r="K20" s="198" t="n">
        <v>1</v>
      </c>
      <c r="L20" s="198" t="s">
        <v>6610</v>
      </c>
      <c r="M20" s="228" t="s">
        <v>7057</v>
      </c>
      <c r="N20" s="198" t="s">
        <v>6612</v>
      </c>
      <c r="O20" s="28" t="s">
        <v>6613</v>
      </c>
      <c r="P20" s="28" t="s">
        <v>620</v>
      </c>
      <c r="Q20" s="28" t="s">
        <v>7066</v>
      </c>
      <c r="R20" s="28" t="s">
        <v>5560</v>
      </c>
      <c r="S20" s="28" t="s">
        <v>620</v>
      </c>
      <c r="T20" s="28" t="s">
        <v>620</v>
      </c>
      <c r="U20" s="28" t="s">
        <v>6960</v>
      </c>
      <c r="V20" s="228" t="s">
        <v>7067</v>
      </c>
      <c r="W20" s="6" t="s">
        <v>7068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5575</v>
      </c>
      <c r="B21" s="6" t="s">
        <v>7069</v>
      </c>
      <c r="C21" s="226" t="n">
        <v>0.038</v>
      </c>
      <c r="D21" s="198"/>
      <c r="E21" s="198"/>
      <c r="F21" s="28" t="s">
        <v>7070</v>
      </c>
      <c r="G21" s="198" t="s">
        <v>7071</v>
      </c>
      <c r="H21" s="28" t="s">
        <v>7072</v>
      </c>
      <c r="I21" s="28" t="s">
        <v>3379</v>
      </c>
      <c r="J21" s="6" t="s">
        <v>7073</v>
      </c>
      <c r="K21" s="198" t="n">
        <v>2</v>
      </c>
      <c r="L21" s="198" t="s">
        <v>6610</v>
      </c>
      <c r="M21" s="228" t="s">
        <v>7074</v>
      </c>
      <c r="N21" s="198" t="s">
        <v>7075</v>
      </c>
      <c r="O21" s="28" t="s">
        <v>6613</v>
      </c>
      <c r="P21" s="28" t="s">
        <v>620</v>
      </c>
      <c r="Q21" s="28" t="s">
        <v>7076</v>
      </c>
      <c r="R21" s="28" t="s">
        <v>620</v>
      </c>
      <c r="S21" s="28" t="s">
        <v>620</v>
      </c>
      <c r="T21" s="28" t="s">
        <v>620</v>
      </c>
      <c r="U21" s="28" t="s">
        <v>6960</v>
      </c>
      <c r="V21" s="228" t="s">
        <v>7077</v>
      </c>
      <c r="W21" s="6" t="s">
        <v>7078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7079</v>
      </c>
    </row>
    <row r="2" customFormat="false" ht="15" hidden="false" customHeight="true" outlineLevel="0" collapsed="false">
      <c r="A2" s="233" t="s">
        <v>6584</v>
      </c>
    </row>
    <row r="3" customFormat="false" ht="15" hidden="false" customHeight="true" outlineLevel="0" collapsed="false">
      <c r="A3" s="233" t="s">
        <v>6585</v>
      </c>
    </row>
    <row r="4" customFormat="false" ht="43.5" hidden="false" customHeight="true" outlineLevel="0" collapsed="false">
      <c r="A4" s="84" t="s">
        <v>6586</v>
      </c>
      <c r="B4" s="222" t="s">
        <v>2401</v>
      </c>
      <c r="C4" s="222" t="s">
        <v>6587</v>
      </c>
      <c r="D4" s="222" t="s">
        <v>1150</v>
      </c>
      <c r="E4" s="222" t="s">
        <v>1151</v>
      </c>
      <c r="F4" s="222" t="s">
        <v>83</v>
      </c>
      <c r="G4" s="222" t="s">
        <v>472</v>
      </c>
      <c r="H4" s="222" t="s">
        <v>6588</v>
      </c>
      <c r="I4" s="222" t="s">
        <v>5819</v>
      </c>
      <c r="J4" s="222" t="s">
        <v>5822</v>
      </c>
      <c r="K4" s="222" t="s">
        <v>5993</v>
      </c>
      <c r="L4" s="222" t="s">
        <v>6589</v>
      </c>
      <c r="M4" s="222" t="s">
        <v>6590</v>
      </c>
      <c r="N4" s="222" t="s">
        <v>6591</v>
      </c>
      <c r="O4" s="222" t="s">
        <v>607</v>
      </c>
      <c r="P4" s="222" t="s">
        <v>6592</v>
      </c>
      <c r="Q4" s="84" t="s">
        <v>6593</v>
      </c>
      <c r="R4" s="222" t="s">
        <v>6594</v>
      </c>
      <c r="S4" s="222" t="s">
        <v>6595</v>
      </c>
      <c r="T4" s="84" t="s">
        <v>6596</v>
      </c>
      <c r="U4" s="222" t="s">
        <v>6597</v>
      </c>
      <c r="V4" s="222" t="s">
        <v>6598</v>
      </c>
      <c r="W4" s="222" t="s">
        <v>6599</v>
      </c>
      <c r="X4" s="222" t="s">
        <v>6600</v>
      </c>
      <c r="Y4" s="222" t="s">
        <v>6601</v>
      </c>
      <c r="Z4" s="222" t="s">
        <v>6602</v>
      </c>
      <c r="AH4" s="83" t="s">
        <v>6603</v>
      </c>
    </row>
    <row r="5" customFormat="false" ht="29.25" hidden="false" customHeight="true" outlineLevel="0" collapsed="false">
      <c r="A5" s="28" t="s">
        <v>4370</v>
      </c>
      <c r="B5" s="6" t="s">
        <v>7080</v>
      </c>
      <c r="C5" s="226" t="n">
        <v>1600</v>
      </c>
      <c r="D5" s="224"/>
      <c r="E5" s="224"/>
      <c r="F5" s="28" t="s">
        <v>271</v>
      </c>
      <c r="G5" s="28" t="s">
        <v>620</v>
      </c>
      <c r="H5" s="28" t="s">
        <v>7081</v>
      </c>
      <c r="I5" s="28" t="s">
        <v>6620</v>
      </c>
      <c r="J5" s="6" t="s">
        <v>7082</v>
      </c>
      <c r="K5" s="224" t="n">
        <v>3</v>
      </c>
      <c r="L5" s="224" t="s">
        <v>6610</v>
      </c>
      <c r="M5" s="6" t="s">
        <v>7083</v>
      </c>
      <c r="N5" s="224" t="s">
        <v>6623</v>
      </c>
      <c r="O5" s="28" t="s">
        <v>6613</v>
      </c>
      <c r="P5" s="28" t="s">
        <v>620</v>
      </c>
      <c r="Q5" s="28" t="s">
        <v>7084</v>
      </c>
      <c r="R5" s="28" t="s">
        <v>620</v>
      </c>
      <c r="S5" s="28" t="s">
        <v>620</v>
      </c>
      <c r="T5" s="28" t="s">
        <v>620</v>
      </c>
      <c r="U5" s="28" t="s">
        <v>3608</v>
      </c>
      <c r="V5" s="6" t="s">
        <v>7085</v>
      </c>
      <c r="W5" s="19" t="s">
        <v>7086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4376</v>
      </c>
      <c r="B6" s="6" t="s">
        <v>7087</v>
      </c>
      <c r="C6" s="226" t="n">
        <v>49</v>
      </c>
      <c r="D6" s="224"/>
      <c r="E6" s="224"/>
      <c r="F6" s="28" t="s">
        <v>271</v>
      </c>
      <c r="G6" s="28" t="s">
        <v>620</v>
      </c>
      <c r="H6" s="28" t="s">
        <v>7081</v>
      </c>
      <c r="I6" s="28" t="s">
        <v>6620</v>
      </c>
      <c r="J6" s="6" t="s">
        <v>7082</v>
      </c>
      <c r="K6" s="224" t="n">
        <v>1</v>
      </c>
      <c r="L6" s="224" t="s">
        <v>6610</v>
      </c>
      <c r="M6" s="6" t="s">
        <v>7083</v>
      </c>
      <c r="N6" s="224" t="s">
        <v>6612</v>
      </c>
      <c r="O6" s="28" t="s">
        <v>6613</v>
      </c>
      <c r="P6" s="28" t="s">
        <v>620</v>
      </c>
      <c r="Q6" s="28" t="s">
        <v>7088</v>
      </c>
      <c r="R6" s="28" t="s">
        <v>620</v>
      </c>
      <c r="S6" s="28" t="s">
        <v>6120</v>
      </c>
      <c r="T6" s="28" t="s">
        <v>620</v>
      </c>
      <c r="U6" s="28" t="s">
        <v>3608</v>
      </c>
      <c r="V6" s="6" t="s">
        <v>7089</v>
      </c>
      <c r="W6" s="6" t="s">
        <v>7090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4380</v>
      </c>
      <c r="B7" s="6" t="s">
        <v>7091</v>
      </c>
      <c r="C7" s="226" t="n">
        <v>61</v>
      </c>
      <c r="D7" s="224"/>
      <c r="E7" s="224"/>
      <c r="F7" s="224" t="s">
        <v>277</v>
      </c>
      <c r="G7" s="28" t="s">
        <v>620</v>
      </c>
      <c r="H7" s="28" t="s">
        <v>7081</v>
      </c>
      <c r="I7" s="28" t="s">
        <v>6620</v>
      </c>
      <c r="J7" s="6" t="s">
        <v>7082</v>
      </c>
      <c r="K7" s="224" t="n">
        <v>3</v>
      </c>
      <c r="L7" s="224" t="s">
        <v>6610</v>
      </c>
      <c r="M7" s="6" t="s">
        <v>7083</v>
      </c>
      <c r="N7" s="224" t="s">
        <v>6623</v>
      </c>
      <c r="O7" s="28" t="s">
        <v>6613</v>
      </c>
      <c r="P7" s="28" t="s">
        <v>620</v>
      </c>
      <c r="Q7" s="28" t="s">
        <v>7084</v>
      </c>
      <c r="R7" s="28" t="s">
        <v>620</v>
      </c>
      <c r="S7" s="28" t="s">
        <v>620</v>
      </c>
      <c r="T7" s="28" t="s">
        <v>620</v>
      </c>
      <c r="U7" s="28" t="s">
        <v>3608</v>
      </c>
      <c r="V7" s="6" t="s">
        <v>7092</v>
      </c>
      <c r="W7" s="6" t="s">
        <v>620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4414</v>
      </c>
      <c r="B8" s="6" t="s">
        <v>7093</v>
      </c>
      <c r="C8" s="226" t="n">
        <v>7168</v>
      </c>
      <c r="D8" s="224"/>
      <c r="E8" s="224"/>
      <c r="F8" s="224" t="s">
        <v>7094</v>
      </c>
      <c r="G8" s="28" t="s">
        <v>620</v>
      </c>
      <c r="H8" s="28" t="s">
        <v>7081</v>
      </c>
      <c r="I8" s="28" t="s">
        <v>6620</v>
      </c>
      <c r="J8" s="6" t="s">
        <v>7082</v>
      </c>
      <c r="K8" s="224" t="n">
        <v>3</v>
      </c>
      <c r="L8" s="224" t="s">
        <v>6610</v>
      </c>
      <c r="M8" s="6" t="s">
        <v>7083</v>
      </c>
      <c r="N8" s="224" t="s">
        <v>6623</v>
      </c>
      <c r="O8" s="28" t="s">
        <v>6613</v>
      </c>
      <c r="P8" s="28" t="s">
        <v>620</v>
      </c>
      <c r="Q8" s="28" t="s">
        <v>7084</v>
      </c>
      <c r="R8" s="28" t="s">
        <v>620</v>
      </c>
      <c r="S8" s="28" t="s">
        <v>620</v>
      </c>
      <c r="T8" s="28" t="s">
        <v>620</v>
      </c>
      <c r="U8" s="28" t="s">
        <v>3608</v>
      </c>
      <c r="V8" s="6" t="s">
        <v>7095</v>
      </c>
      <c r="W8" s="6" t="s">
        <v>620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4368</v>
      </c>
      <c r="B9" s="6" t="s">
        <v>7096</v>
      </c>
      <c r="C9" s="226" t="n">
        <v>284</v>
      </c>
      <c r="D9" s="224"/>
      <c r="E9" s="224"/>
      <c r="F9" s="28" t="s">
        <v>271</v>
      </c>
      <c r="G9" s="28" t="s">
        <v>620</v>
      </c>
      <c r="H9" s="28" t="s">
        <v>7097</v>
      </c>
      <c r="I9" s="28" t="s">
        <v>6620</v>
      </c>
      <c r="J9" s="6" t="s">
        <v>7082</v>
      </c>
      <c r="K9" s="224" t="n">
        <v>3</v>
      </c>
      <c r="L9" s="224" t="s">
        <v>6610</v>
      </c>
      <c r="M9" s="6" t="s">
        <v>7083</v>
      </c>
      <c r="N9" s="224" t="s">
        <v>6623</v>
      </c>
      <c r="O9" s="28" t="s">
        <v>6613</v>
      </c>
      <c r="P9" s="28" t="s">
        <v>620</v>
      </c>
      <c r="Q9" s="28" t="s">
        <v>7084</v>
      </c>
      <c r="R9" s="28" t="s">
        <v>620</v>
      </c>
      <c r="S9" s="28" t="s">
        <v>620</v>
      </c>
      <c r="T9" s="28" t="s">
        <v>620</v>
      </c>
      <c r="U9" s="28" t="s">
        <v>3608</v>
      </c>
      <c r="V9" s="6" t="s">
        <v>7098</v>
      </c>
      <c r="W9" s="6" t="s">
        <v>620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4373</v>
      </c>
      <c r="B10" s="6" t="s">
        <v>7099</v>
      </c>
      <c r="C10" s="226" t="n">
        <v>13</v>
      </c>
      <c r="D10" s="224"/>
      <c r="E10" s="224"/>
      <c r="F10" s="28" t="s">
        <v>271</v>
      </c>
      <c r="G10" s="28" t="s">
        <v>620</v>
      </c>
      <c r="H10" s="28" t="s">
        <v>7097</v>
      </c>
      <c r="I10" s="28" t="s">
        <v>6620</v>
      </c>
      <c r="J10" s="6" t="s">
        <v>7082</v>
      </c>
      <c r="K10" s="224" t="n">
        <v>1</v>
      </c>
      <c r="L10" s="224" t="s">
        <v>6610</v>
      </c>
      <c r="M10" s="6" t="s">
        <v>7083</v>
      </c>
      <c r="N10" s="224" t="s">
        <v>6612</v>
      </c>
      <c r="O10" s="28" t="s">
        <v>6613</v>
      </c>
      <c r="P10" s="28" t="s">
        <v>620</v>
      </c>
      <c r="Q10" s="28" t="s">
        <v>7100</v>
      </c>
      <c r="R10" s="28" t="s">
        <v>620</v>
      </c>
      <c r="S10" s="28" t="s">
        <v>6120</v>
      </c>
      <c r="T10" s="28" t="s">
        <v>620</v>
      </c>
      <c r="U10" s="28" t="s">
        <v>3608</v>
      </c>
      <c r="V10" s="6" t="s">
        <v>7101</v>
      </c>
      <c r="W10" s="6" t="s">
        <v>7102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4378</v>
      </c>
      <c r="B11" s="6" t="s">
        <v>7103</v>
      </c>
      <c r="C11" s="226" t="n">
        <v>43</v>
      </c>
      <c r="D11" s="224"/>
      <c r="E11" s="224"/>
      <c r="F11" s="224" t="s">
        <v>277</v>
      </c>
      <c r="G11" s="224" t="s">
        <v>6623</v>
      </c>
      <c r="H11" s="28" t="s">
        <v>7104</v>
      </c>
      <c r="I11" s="28" t="s">
        <v>620</v>
      </c>
      <c r="J11" s="6" t="s">
        <v>7105</v>
      </c>
      <c r="K11" s="224" t="n">
        <v>1</v>
      </c>
      <c r="L11" s="224" t="s">
        <v>6610</v>
      </c>
      <c r="M11" s="6" t="s">
        <v>7106</v>
      </c>
      <c r="N11" s="224" t="s">
        <v>6612</v>
      </c>
      <c r="O11" s="28" t="s">
        <v>6613</v>
      </c>
      <c r="P11" s="28" t="s">
        <v>620</v>
      </c>
      <c r="Q11" s="28" t="s">
        <v>7107</v>
      </c>
      <c r="R11" s="28" t="s">
        <v>620</v>
      </c>
      <c r="S11" s="28" t="s">
        <v>6120</v>
      </c>
      <c r="T11" s="28" t="s">
        <v>620</v>
      </c>
      <c r="U11" s="28" t="s">
        <v>7108</v>
      </c>
      <c r="V11" s="6" t="s">
        <v>7109</v>
      </c>
      <c r="W11" s="6" t="s">
        <v>7110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4416</v>
      </c>
      <c r="B12" s="6" t="s">
        <v>7111</v>
      </c>
      <c r="C12" s="226" t="n">
        <v>128</v>
      </c>
      <c r="D12" s="224"/>
      <c r="E12" s="224"/>
      <c r="F12" s="224" t="s">
        <v>329</v>
      </c>
      <c r="G12" s="28" t="s">
        <v>620</v>
      </c>
      <c r="H12" s="28" t="s">
        <v>7112</v>
      </c>
      <c r="I12" s="28" t="s">
        <v>620</v>
      </c>
      <c r="J12" s="6" t="s">
        <v>7105</v>
      </c>
      <c r="K12" s="224" t="n">
        <v>3</v>
      </c>
      <c r="L12" s="224" t="s">
        <v>6610</v>
      </c>
      <c r="M12" s="6" t="s">
        <v>7106</v>
      </c>
      <c r="N12" s="224" t="s">
        <v>6748</v>
      </c>
      <c r="O12" s="28" t="s">
        <v>6613</v>
      </c>
      <c r="P12" s="28" t="s">
        <v>620</v>
      </c>
      <c r="Q12" s="28" t="s">
        <v>7113</v>
      </c>
      <c r="R12" s="28" t="s">
        <v>620</v>
      </c>
      <c r="S12" s="28" t="s">
        <v>620</v>
      </c>
      <c r="T12" s="28" t="s">
        <v>620</v>
      </c>
      <c r="U12" s="28" t="s">
        <v>7108</v>
      </c>
      <c r="V12" s="6" t="s">
        <v>7114</v>
      </c>
      <c r="W12" s="6" t="s">
        <v>7115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4382</v>
      </c>
      <c r="B13" s="6" t="s">
        <v>7116</v>
      </c>
      <c r="C13" s="226" t="n">
        <v>512</v>
      </c>
      <c r="D13" s="224"/>
      <c r="E13" s="224"/>
      <c r="F13" s="224" t="s">
        <v>7094</v>
      </c>
      <c r="G13" s="224" t="s">
        <v>7117</v>
      </c>
      <c r="H13" s="28" t="s">
        <v>7118</v>
      </c>
      <c r="I13" s="28" t="s">
        <v>620</v>
      </c>
      <c r="J13" s="6" t="s">
        <v>7105</v>
      </c>
      <c r="K13" s="224" t="n">
        <v>1</v>
      </c>
      <c r="L13" s="224" t="s">
        <v>6610</v>
      </c>
      <c r="M13" s="6" t="s">
        <v>7106</v>
      </c>
      <c r="N13" s="224" t="s">
        <v>6612</v>
      </c>
      <c r="O13" s="28" t="s">
        <v>6613</v>
      </c>
      <c r="P13" s="28" t="s">
        <v>620</v>
      </c>
      <c r="Q13" s="28" t="s">
        <v>7119</v>
      </c>
      <c r="R13" s="28" t="s">
        <v>620</v>
      </c>
      <c r="S13" s="28" t="s">
        <v>6120</v>
      </c>
      <c r="T13" s="28" t="s">
        <v>620</v>
      </c>
      <c r="U13" s="28" t="s">
        <v>7108</v>
      </c>
      <c r="V13" s="6" t="s">
        <v>7120</v>
      </c>
      <c r="W13" s="6" t="s">
        <v>7121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4385</v>
      </c>
      <c r="B14" s="6" t="s">
        <v>7122</v>
      </c>
      <c r="C14" s="226" t="n">
        <v>256</v>
      </c>
      <c r="D14" s="224"/>
      <c r="E14" s="224"/>
      <c r="F14" s="224" t="s">
        <v>329</v>
      </c>
      <c r="G14" s="28" t="s">
        <v>620</v>
      </c>
      <c r="H14" s="28" t="s">
        <v>7104</v>
      </c>
      <c r="I14" s="28" t="s">
        <v>620</v>
      </c>
      <c r="J14" s="6" t="s">
        <v>7105</v>
      </c>
      <c r="K14" s="224" t="n">
        <v>1</v>
      </c>
      <c r="L14" s="224" t="s">
        <v>6610</v>
      </c>
      <c r="M14" s="6" t="s">
        <v>7106</v>
      </c>
      <c r="N14" s="224" t="s">
        <v>6612</v>
      </c>
      <c r="O14" s="28" t="s">
        <v>6613</v>
      </c>
      <c r="P14" s="28" t="s">
        <v>620</v>
      </c>
      <c r="Q14" s="28" t="s">
        <v>7123</v>
      </c>
      <c r="R14" s="28" t="s">
        <v>620</v>
      </c>
      <c r="S14" s="28" t="s">
        <v>6120</v>
      </c>
      <c r="T14" s="28" t="s">
        <v>620</v>
      </c>
      <c r="U14" s="28" t="s">
        <v>7108</v>
      </c>
      <c r="V14" s="6" t="s">
        <v>7124</v>
      </c>
      <c r="W14" s="6" t="s">
        <v>7125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4387</v>
      </c>
      <c r="B15" s="6" t="s">
        <v>7126</v>
      </c>
      <c r="C15" s="226" t="n">
        <v>384</v>
      </c>
      <c r="D15" s="224"/>
      <c r="E15" s="224"/>
      <c r="F15" s="224" t="s">
        <v>329</v>
      </c>
      <c r="G15" s="28" t="s">
        <v>620</v>
      </c>
      <c r="H15" s="28" t="s">
        <v>7112</v>
      </c>
      <c r="I15" s="28" t="s">
        <v>620</v>
      </c>
      <c r="J15" s="6" t="s">
        <v>7105</v>
      </c>
      <c r="K15" s="224" t="n">
        <v>1</v>
      </c>
      <c r="L15" s="224" t="s">
        <v>6610</v>
      </c>
      <c r="M15" s="6" t="s">
        <v>7106</v>
      </c>
      <c r="N15" s="224" t="s">
        <v>6612</v>
      </c>
      <c r="O15" s="28" t="s">
        <v>6613</v>
      </c>
      <c r="P15" s="28" t="s">
        <v>620</v>
      </c>
      <c r="Q15" s="28" t="s">
        <v>7127</v>
      </c>
      <c r="R15" s="28" t="s">
        <v>620</v>
      </c>
      <c r="S15" s="28" t="s">
        <v>6120</v>
      </c>
      <c r="T15" s="28" t="s">
        <v>620</v>
      </c>
      <c r="U15" s="28" t="s">
        <v>7108</v>
      </c>
      <c r="V15" s="6" t="s">
        <v>7128</v>
      </c>
      <c r="W15" s="6" t="s">
        <v>7129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4390</v>
      </c>
      <c r="B16" s="6" t="s">
        <v>7130</v>
      </c>
      <c r="C16" s="226" t="n">
        <v>6</v>
      </c>
      <c r="D16" s="224"/>
      <c r="E16" s="224"/>
      <c r="F16" s="224" t="s">
        <v>329</v>
      </c>
      <c r="G16" s="28" t="s">
        <v>620</v>
      </c>
      <c r="H16" s="28" t="s">
        <v>7118</v>
      </c>
      <c r="I16" s="28" t="s">
        <v>620</v>
      </c>
      <c r="J16" s="6" t="s">
        <v>7105</v>
      </c>
      <c r="K16" s="224" t="n">
        <v>1</v>
      </c>
      <c r="L16" s="224" t="s">
        <v>6610</v>
      </c>
      <c r="M16" s="6" t="s">
        <v>7106</v>
      </c>
      <c r="N16" s="224" t="s">
        <v>6612</v>
      </c>
      <c r="O16" s="28" t="s">
        <v>6613</v>
      </c>
      <c r="P16" s="28" t="s">
        <v>620</v>
      </c>
      <c r="Q16" s="28" t="s">
        <v>7131</v>
      </c>
      <c r="R16" s="28" t="s">
        <v>620</v>
      </c>
      <c r="S16" s="28" t="s">
        <v>6120</v>
      </c>
      <c r="T16" s="28" t="s">
        <v>620</v>
      </c>
      <c r="U16" s="28" t="s">
        <v>7108</v>
      </c>
      <c r="V16" s="6" t="s">
        <v>7132</v>
      </c>
      <c r="W16" s="6" t="s">
        <v>7133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4394</v>
      </c>
      <c r="B17" s="6" t="s">
        <v>7134</v>
      </c>
      <c r="C17" s="226" t="n">
        <v>1</v>
      </c>
      <c r="D17" s="224"/>
      <c r="E17" s="224"/>
      <c r="F17" s="224" t="s">
        <v>329</v>
      </c>
      <c r="G17" s="28" t="s">
        <v>620</v>
      </c>
      <c r="H17" s="28" t="s">
        <v>7118</v>
      </c>
      <c r="I17" s="28" t="s">
        <v>620</v>
      </c>
      <c r="J17" s="6" t="s">
        <v>7105</v>
      </c>
      <c r="K17" s="224" t="n">
        <v>1</v>
      </c>
      <c r="L17" s="224" t="s">
        <v>6610</v>
      </c>
      <c r="M17" s="6" t="s">
        <v>7106</v>
      </c>
      <c r="N17" s="224" t="s">
        <v>6612</v>
      </c>
      <c r="O17" s="28" t="s">
        <v>6613</v>
      </c>
      <c r="P17" s="28" t="s">
        <v>620</v>
      </c>
      <c r="Q17" s="28" t="s">
        <v>7135</v>
      </c>
      <c r="R17" s="28" t="s">
        <v>620</v>
      </c>
      <c r="S17" s="28" t="s">
        <v>6120</v>
      </c>
      <c r="T17" s="28" t="s">
        <v>620</v>
      </c>
      <c r="U17" s="28" t="s">
        <v>7108</v>
      </c>
      <c r="V17" s="6" t="s">
        <v>7136</v>
      </c>
      <c r="W17" s="6" t="s">
        <v>7137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4398</v>
      </c>
      <c r="B18" s="6" t="s">
        <v>7138</v>
      </c>
      <c r="C18" s="226" t="n">
        <v>129280</v>
      </c>
      <c r="D18" s="224"/>
      <c r="E18" s="224"/>
      <c r="F18" s="28" t="s">
        <v>7139</v>
      </c>
      <c r="G18" s="28" t="s">
        <v>620</v>
      </c>
      <c r="H18" s="28" t="s">
        <v>7118</v>
      </c>
      <c r="I18" s="28" t="s">
        <v>620</v>
      </c>
      <c r="J18" s="6" t="s">
        <v>7105</v>
      </c>
      <c r="K18" s="224" t="n">
        <v>1</v>
      </c>
      <c r="L18" s="224" t="s">
        <v>6610</v>
      </c>
      <c r="M18" s="6" t="s">
        <v>7106</v>
      </c>
      <c r="N18" s="224" t="s">
        <v>6612</v>
      </c>
      <c r="O18" s="28" t="s">
        <v>6613</v>
      </c>
      <c r="P18" s="28" t="s">
        <v>620</v>
      </c>
      <c r="Q18" s="28" t="s">
        <v>7140</v>
      </c>
      <c r="R18" s="28" t="s">
        <v>620</v>
      </c>
      <c r="S18" s="28" t="s">
        <v>6120</v>
      </c>
      <c r="T18" s="28" t="s">
        <v>620</v>
      </c>
      <c r="U18" s="28" t="s">
        <v>7108</v>
      </c>
      <c r="V18" s="6" t="s">
        <v>7141</v>
      </c>
      <c r="W18" s="6" t="s">
        <v>7142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4403</v>
      </c>
      <c r="B19" s="6" t="s">
        <v>7143</v>
      </c>
      <c r="C19" s="226" t="n">
        <v>0.512</v>
      </c>
      <c r="D19" s="224"/>
      <c r="E19" s="224"/>
      <c r="F19" s="28" t="s">
        <v>99</v>
      </c>
      <c r="G19" s="224" t="s">
        <v>7144</v>
      </c>
      <c r="H19" s="28" t="s">
        <v>7104</v>
      </c>
      <c r="I19" s="28" t="s">
        <v>620</v>
      </c>
      <c r="J19" s="6" t="s">
        <v>7105</v>
      </c>
      <c r="K19" s="224" t="n">
        <v>1</v>
      </c>
      <c r="L19" s="224" t="s">
        <v>6610</v>
      </c>
      <c r="M19" s="6" t="s">
        <v>7106</v>
      </c>
      <c r="N19" s="224" t="s">
        <v>6612</v>
      </c>
      <c r="O19" s="28" t="s">
        <v>6613</v>
      </c>
      <c r="P19" s="28" t="s">
        <v>620</v>
      </c>
      <c r="Q19" s="28" t="s">
        <v>7145</v>
      </c>
      <c r="R19" s="28" t="s">
        <v>620</v>
      </c>
      <c r="S19" s="28" t="s">
        <v>6120</v>
      </c>
      <c r="T19" s="28" t="s">
        <v>620</v>
      </c>
      <c r="U19" s="28" t="s">
        <v>7108</v>
      </c>
      <c r="V19" s="6" t="s">
        <v>7146</v>
      </c>
      <c r="W19" s="6" t="s">
        <v>7147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4407</v>
      </c>
      <c r="B20" s="6" t="s">
        <v>7148</v>
      </c>
      <c r="C20" s="226" t="n">
        <v>128</v>
      </c>
      <c r="D20" s="224"/>
      <c r="E20" s="224"/>
      <c r="F20" s="28" t="s">
        <v>103</v>
      </c>
      <c r="G20" s="28" t="s">
        <v>620</v>
      </c>
      <c r="H20" s="28" t="s">
        <v>7118</v>
      </c>
      <c r="I20" s="28" t="s">
        <v>620</v>
      </c>
      <c r="J20" s="6" t="s">
        <v>7105</v>
      </c>
      <c r="K20" s="224" t="n">
        <v>1</v>
      </c>
      <c r="L20" s="224" t="s">
        <v>6610</v>
      </c>
      <c r="M20" s="6" t="s">
        <v>7106</v>
      </c>
      <c r="N20" s="224" t="s">
        <v>6612</v>
      </c>
      <c r="O20" s="28" t="s">
        <v>6613</v>
      </c>
      <c r="P20" s="28" t="s">
        <v>620</v>
      </c>
      <c r="Q20" s="28" t="s">
        <v>7149</v>
      </c>
      <c r="R20" s="28" t="s">
        <v>620</v>
      </c>
      <c r="S20" s="28" t="s">
        <v>6120</v>
      </c>
      <c r="T20" s="28" t="s">
        <v>620</v>
      </c>
      <c r="U20" s="28" t="s">
        <v>7108</v>
      </c>
      <c r="V20" s="6" t="s">
        <v>7150</v>
      </c>
      <c r="W20" s="6" t="s">
        <v>7151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4411</v>
      </c>
      <c r="B21" s="6" t="s">
        <v>7152</v>
      </c>
      <c r="C21" s="226" t="n">
        <v>128</v>
      </c>
      <c r="D21" s="224"/>
      <c r="E21" s="224"/>
      <c r="F21" s="28" t="s">
        <v>292</v>
      </c>
      <c r="G21" s="28" t="s">
        <v>620</v>
      </c>
      <c r="H21" s="28" t="s">
        <v>7118</v>
      </c>
      <c r="I21" s="28" t="s">
        <v>620</v>
      </c>
      <c r="J21" s="6" t="s">
        <v>7105</v>
      </c>
      <c r="K21" s="224" t="n">
        <v>1</v>
      </c>
      <c r="L21" s="224" t="s">
        <v>6610</v>
      </c>
      <c r="M21" s="6" t="s">
        <v>7106</v>
      </c>
      <c r="N21" s="224" t="s">
        <v>6612</v>
      </c>
      <c r="O21" s="28" t="s">
        <v>6613</v>
      </c>
      <c r="P21" s="28" t="s">
        <v>620</v>
      </c>
      <c r="Q21" s="28" t="s">
        <v>7153</v>
      </c>
      <c r="R21" s="28" t="s">
        <v>620</v>
      </c>
      <c r="S21" s="28" t="s">
        <v>6120</v>
      </c>
      <c r="T21" s="28" t="s">
        <v>620</v>
      </c>
      <c r="U21" s="28" t="s">
        <v>7108</v>
      </c>
      <c r="V21" s="6" t="s">
        <v>7154</v>
      </c>
      <c r="W21" s="6" t="s">
        <v>7155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4426</v>
      </c>
      <c r="B22" s="6" t="s">
        <v>7156</v>
      </c>
      <c r="C22" s="226" t="n">
        <v>1024</v>
      </c>
      <c r="D22" s="224"/>
      <c r="E22" s="224"/>
      <c r="F22" s="224" t="s">
        <v>7157</v>
      </c>
      <c r="G22" s="28" t="s">
        <v>620</v>
      </c>
      <c r="H22" s="28" t="s">
        <v>7118</v>
      </c>
      <c r="I22" s="28" t="s">
        <v>620</v>
      </c>
      <c r="J22" s="6" t="s">
        <v>7105</v>
      </c>
      <c r="K22" s="224" t="n">
        <v>3</v>
      </c>
      <c r="L22" s="224" t="s">
        <v>6610</v>
      </c>
      <c r="M22" s="6" t="s">
        <v>7106</v>
      </c>
      <c r="N22" s="224" t="s">
        <v>6748</v>
      </c>
      <c r="O22" s="28" t="s">
        <v>6613</v>
      </c>
      <c r="P22" s="28" t="s">
        <v>620</v>
      </c>
      <c r="Q22" s="28" t="s">
        <v>7113</v>
      </c>
      <c r="R22" s="28" t="s">
        <v>620</v>
      </c>
      <c r="S22" s="28" t="s">
        <v>620</v>
      </c>
      <c r="T22" s="28" t="s">
        <v>620</v>
      </c>
      <c r="U22" s="28" t="s">
        <v>7108</v>
      </c>
      <c r="V22" s="6" t="s">
        <v>7158</v>
      </c>
      <c r="W22" s="6" t="s">
        <v>7159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7160</v>
      </c>
      <c r="B23" s="6" t="s">
        <v>7161</v>
      </c>
      <c r="C23" s="226" t="n">
        <v>4</v>
      </c>
      <c r="D23" s="224"/>
      <c r="E23" s="224"/>
      <c r="F23" s="28" t="s">
        <v>7162</v>
      </c>
      <c r="G23" s="28" t="s">
        <v>620</v>
      </c>
      <c r="H23" s="28" t="s">
        <v>7118</v>
      </c>
      <c r="I23" s="28" t="s">
        <v>620</v>
      </c>
      <c r="J23" s="6" t="s">
        <v>7105</v>
      </c>
      <c r="K23" s="224" t="n">
        <v>3</v>
      </c>
      <c r="L23" s="224" t="s">
        <v>6610</v>
      </c>
      <c r="M23" s="6" t="s">
        <v>7106</v>
      </c>
      <c r="N23" s="224" t="s">
        <v>6748</v>
      </c>
      <c r="O23" s="28" t="s">
        <v>6613</v>
      </c>
      <c r="P23" s="28" t="s">
        <v>620</v>
      </c>
      <c r="Q23" s="28" t="s">
        <v>7113</v>
      </c>
      <c r="R23" s="28" t="s">
        <v>620</v>
      </c>
      <c r="S23" s="28" t="s">
        <v>620</v>
      </c>
      <c r="T23" s="28" t="s">
        <v>620</v>
      </c>
      <c r="U23" s="28" t="s">
        <v>7108</v>
      </c>
      <c r="V23" s="6" t="s">
        <v>7158</v>
      </c>
      <c r="W23" s="6" t="s">
        <v>620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4751</v>
      </c>
      <c r="B24" s="6" t="s">
        <v>7163</v>
      </c>
      <c r="C24" s="226" t="n">
        <v>671</v>
      </c>
      <c r="D24" s="224"/>
      <c r="E24" s="224"/>
      <c r="F24" s="28" t="s">
        <v>271</v>
      </c>
      <c r="G24" s="28" t="s">
        <v>620</v>
      </c>
      <c r="H24" s="28" t="s">
        <v>7164</v>
      </c>
      <c r="I24" s="28" t="s">
        <v>620</v>
      </c>
      <c r="J24" s="6" t="s">
        <v>7105</v>
      </c>
      <c r="K24" s="224" t="n">
        <v>3</v>
      </c>
      <c r="L24" s="224" t="s">
        <v>6610</v>
      </c>
      <c r="M24" s="6" t="s">
        <v>7106</v>
      </c>
      <c r="N24" s="224" t="s">
        <v>6748</v>
      </c>
      <c r="O24" s="28" t="s">
        <v>6613</v>
      </c>
      <c r="P24" s="28" t="s">
        <v>620</v>
      </c>
      <c r="Q24" s="28" t="s">
        <v>7113</v>
      </c>
      <c r="R24" s="28" t="s">
        <v>620</v>
      </c>
      <c r="S24" s="28" t="s">
        <v>620</v>
      </c>
      <c r="T24" s="28" t="s">
        <v>620</v>
      </c>
      <c r="U24" s="28" t="s">
        <v>7108</v>
      </c>
      <c r="V24" s="6" t="s">
        <v>7165</v>
      </c>
      <c r="W24" s="6" t="s">
        <v>620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4754</v>
      </c>
      <c r="B25" s="6" t="s">
        <v>7166</v>
      </c>
      <c r="C25" s="226" t="n">
        <v>37</v>
      </c>
      <c r="D25" s="224"/>
      <c r="E25" s="224"/>
      <c r="F25" s="28" t="s">
        <v>271</v>
      </c>
      <c r="G25" s="28" t="s">
        <v>620</v>
      </c>
      <c r="H25" s="28" t="s">
        <v>7164</v>
      </c>
      <c r="I25" s="28" t="s">
        <v>620</v>
      </c>
      <c r="J25" s="6" t="s">
        <v>7105</v>
      </c>
      <c r="K25" s="224" t="n">
        <v>3</v>
      </c>
      <c r="L25" s="224" t="s">
        <v>6610</v>
      </c>
      <c r="M25" s="6" t="s">
        <v>7106</v>
      </c>
      <c r="N25" s="224" t="s">
        <v>6748</v>
      </c>
      <c r="O25" s="28" t="s">
        <v>6613</v>
      </c>
      <c r="P25" s="28" t="s">
        <v>620</v>
      </c>
      <c r="Q25" s="28" t="s">
        <v>7113</v>
      </c>
      <c r="R25" s="28" t="s">
        <v>620</v>
      </c>
      <c r="S25" s="28" t="s">
        <v>620</v>
      </c>
      <c r="T25" s="28" t="s">
        <v>620</v>
      </c>
      <c r="U25" s="28" t="s">
        <v>7108</v>
      </c>
      <c r="V25" s="6" t="s">
        <v>7167</v>
      </c>
      <c r="W25" s="6" t="s">
        <v>620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4757</v>
      </c>
      <c r="B26" s="6" t="s">
        <v>7168</v>
      </c>
      <c r="C26" s="226" t="n">
        <v>61</v>
      </c>
      <c r="D26" s="224"/>
      <c r="E26" s="224"/>
      <c r="F26" s="224" t="s">
        <v>277</v>
      </c>
      <c r="G26" s="28" t="s">
        <v>620</v>
      </c>
      <c r="H26" s="28" t="s">
        <v>7164</v>
      </c>
      <c r="I26" s="28" t="s">
        <v>620</v>
      </c>
      <c r="J26" s="6" t="s">
        <v>7105</v>
      </c>
      <c r="K26" s="224" t="n">
        <v>3</v>
      </c>
      <c r="L26" s="224" t="s">
        <v>6610</v>
      </c>
      <c r="M26" s="6" t="s">
        <v>7106</v>
      </c>
      <c r="N26" s="224" t="s">
        <v>6748</v>
      </c>
      <c r="O26" s="28" t="s">
        <v>6613</v>
      </c>
      <c r="P26" s="28" t="s">
        <v>620</v>
      </c>
      <c r="Q26" s="28" t="s">
        <v>7113</v>
      </c>
      <c r="R26" s="28" t="s">
        <v>620</v>
      </c>
      <c r="S26" s="28" t="s">
        <v>620</v>
      </c>
      <c r="T26" s="28" t="s">
        <v>620</v>
      </c>
      <c r="U26" s="28" t="s">
        <v>7108</v>
      </c>
      <c r="V26" s="6" t="s">
        <v>7169</v>
      </c>
      <c r="W26" s="6" t="s">
        <v>620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4760</v>
      </c>
      <c r="B27" s="6" t="s">
        <v>7170</v>
      </c>
      <c r="C27" s="226" t="n">
        <v>7168</v>
      </c>
      <c r="D27" s="224"/>
      <c r="E27" s="224"/>
      <c r="F27" s="224" t="s">
        <v>7094</v>
      </c>
      <c r="G27" s="28" t="s">
        <v>620</v>
      </c>
      <c r="H27" s="28" t="s">
        <v>7164</v>
      </c>
      <c r="I27" s="28" t="s">
        <v>620</v>
      </c>
      <c r="J27" s="6" t="s">
        <v>7105</v>
      </c>
      <c r="K27" s="224" t="n">
        <v>3</v>
      </c>
      <c r="L27" s="224" t="s">
        <v>6610</v>
      </c>
      <c r="M27" s="6" t="s">
        <v>7106</v>
      </c>
      <c r="N27" s="224" t="s">
        <v>6748</v>
      </c>
      <c r="O27" s="28" t="s">
        <v>6613</v>
      </c>
      <c r="P27" s="28" t="s">
        <v>620</v>
      </c>
      <c r="Q27" s="28" t="s">
        <v>7113</v>
      </c>
      <c r="R27" s="28" t="s">
        <v>620</v>
      </c>
      <c r="S27" s="28" t="s">
        <v>620</v>
      </c>
      <c r="T27" s="28" t="s">
        <v>620</v>
      </c>
      <c r="U27" s="28" t="s">
        <v>7108</v>
      </c>
      <c r="V27" s="6" t="s">
        <v>7171</v>
      </c>
      <c r="W27" s="6" t="s">
        <v>620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4763</v>
      </c>
      <c r="B28" s="6" t="s">
        <v>7172</v>
      </c>
      <c r="C28" s="226" t="n">
        <v>256</v>
      </c>
      <c r="D28" s="224"/>
      <c r="E28" s="224"/>
      <c r="F28" s="224" t="s">
        <v>329</v>
      </c>
      <c r="G28" s="28" t="s">
        <v>620</v>
      </c>
      <c r="H28" s="28" t="s">
        <v>7164</v>
      </c>
      <c r="I28" s="28" t="s">
        <v>620</v>
      </c>
      <c r="J28" s="6" t="s">
        <v>7105</v>
      </c>
      <c r="K28" s="224" t="n">
        <v>3</v>
      </c>
      <c r="L28" s="224" t="s">
        <v>6610</v>
      </c>
      <c r="M28" s="6" t="s">
        <v>7106</v>
      </c>
      <c r="N28" s="224" t="s">
        <v>6748</v>
      </c>
      <c r="O28" s="28" t="s">
        <v>6613</v>
      </c>
      <c r="P28" s="28" t="s">
        <v>620</v>
      </c>
      <c r="Q28" s="28" t="s">
        <v>7113</v>
      </c>
      <c r="R28" s="28" t="s">
        <v>620</v>
      </c>
      <c r="S28" s="28" t="s">
        <v>620</v>
      </c>
      <c r="T28" s="28" t="s">
        <v>620</v>
      </c>
      <c r="U28" s="28" t="s">
        <v>7108</v>
      </c>
      <c r="V28" s="6" t="s">
        <v>7173</v>
      </c>
      <c r="W28" s="6" t="s">
        <v>620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4767</v>
      </c>
      <c r="B29" s="6" t="s">
        <v>7174</v>
      </c>
      <c r="C29" s="226" t="n">
        <v>8</v>
      </c>
      <c r="D29" s="224"/>
      <c r="E29" s="224"/>
      <c r="F29" s="224" t="s">
        <v>329</v>
      </c>
      <c r="G29" s="28" t="s">
        <v>620</v>
      </c>
      <c r="H29" s="28" t="s">
        <v>7164</v>
      </c>
      <c r="I29" s="28" t="s">
        <v>620</v>
      </c>
      <c r="J29" s="6" t="s">
        <v>7105</v>
      </c>
      <c r="K29" s="224" t="n">
        <v>3</v>
      </c>
      <c r="L29" s="224" t="s">
        <v>6610</v>
      </c>
      <c r="M29" s="6" t="s">
        <v>7106</v>
      </c>
      <c r="N29" s="224" t="s">
        <v>6748</v>
      </c>
      <c r="O29" s="28" t="s">
        <v>6613</v>
      </c>
      <c r="P29" s="28" t="s">
        <v>620</v>
      </c>
      <c r="Q29" s="28" t="s">
        <v>7113</v>
      </c>
      <c r="R29" s="28" t="s">
        <v>620</v>
      </c>
      <c r="S29" s="28" t="s">
        <v>620</v>
      </c>
      <c r="T29" s="28" t="s">
        <v>620</v>
      </c>
      <c r="U29" s="28" t="s">
        <v>7108</v>
      </c>
      <c r="V29" s="6" t="s">
        <v>7175</v>
      </c>
      <c r="W29" s="6" t="s">
        <v>620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4770</v>
      </c>
      <c r="B30" s="6" t="s">
        <v>7176</v>
      </c>
      <c r="C30" s="226" t="n">
        <v>1</v>
      </c>
      <c r="D30" s="224"/>
      <c r="E30" s="224"/>
      <c r="F30" s="224" t="s">
        <v>329</v>
      </c>
      <c r="G30" s="28" t="s">
        <v>620</v>
      </c>
      <c r="H30" s="28" t="s">
        <v>7164</v>
      </c>
      <c r="I30" s="28" t="s">
        <v>620</v>
      </c>
      <c r="J30" s="6" t="s">
        <v>7105</v>
      </c>
      <c r="K30" s="224" t="n">
        <v>3</v>
      </c>
      <c r="L30" s="224" t="s">
        <v>6610</v>
      </c>
      <c r="M30" s="6" t="s">
        <v>7106</v>
      </c>
      <c r="N30" s="224" t="s">
        <v>6748</v>
      </c>
      <c r="O30" s="28" t="s">
        <v>6613</v>
      </c>
      <c r="P30" s="28" t="s">
        <v>620</v>
      </c>
      <c r="Q30" s="28" t="s">
        <v>7113</v>
      </c>
      <c r="R30" s="28" t="s">
        <v>620</v>
      </c>
      <c r="S30" s="28" t="s">
        <v>620</v>
      </c>
      <c r="T30" s="28" t="s">
        <v>620</v>
      </c>
      <c r="U30" s="28" t="s">
        <v>7108</v>
      </c>
      <c r="V30" s="6" t="s">
        <v>7177</v>
      </c>
      <c r="W30" s="6" t="s">
        <v>620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4773</v>
      </c>
      <c r="B31" s="6" t="s">
        <v>7178</v>
      </c>
      <c r="C31" s="226" t="n">
        <v>129280</v>
      </c>
      <c r="D31" s="224"/>
      <c r="E31" s="224"/>
      <c r="F31" s="28" t="s">
        <v>7139</v>
      </c>
      <c r="G31" s="28" t="s">
        <v>620</v>
      </c>
      <c r="H31" s="28" t="s">
        <v>7164</v>
      </c>
      <c r="I31" s="28" t="s">
        <v>620</v>
      </c>
      <c r="J31" s="6" t="s">
        <v>7105</v>
      </c>
      <c r="K31" s="224" t="n">
        <v>3</v>
      </c>
      <c r="L31" s="224" t="s">
        <v>6610</v>
      </c>
      <c r="M31" s="6" t="s">
        <v>7106</v>
      </c>
      <c r="N31" s="224" t="s">
        <v>6748</v>
      </c>
      <c r="O31" s="28" t="s">
        <v>6613</v>
      </c>
      <c r="P31" s="28" t="s">
        <v>620</v>
      </c>
      <c r="Q31" s="28" t="s">
        <v>7113</v>
      </c>
      <c r="R31" s="28" t="s">
        <v>620</v>
      </c>
      <c r="S31" s="28" t="s">
        <v>620</v>
      </c>
      <c r="T31" s="28" t="s">
        <v>620</v>
      </c>
      <c r="U31" s="28" t="s">
        <v>7108</v>
      </c>
      <c r="V31" s="6" t="s">
        <v>7179</v>
      </c>
      <c r="W31" s="6" t="s">
        <v>620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4776</v>
      </c>
      <c r="B32" s="6" t="s">
        <v>7180</v>
      </c>
      <c r="C32" s="226" t="n">
        <v>576</v>
      </c>
      <c r="D32" s="224"/>
      <c r="E32" s="224"/>
      <c r="F32" s="224" t="s">
        <v>7094</v>
      </c>
      <c r="G32" s="28" t="s">
        <v>7181</v>
      </c>
      <c r="H32" s="28" t="s">
        <v>7164</v>
      </c>
      <c r="I32" s="28" t="s">
        <v>620</v>
      </c>
      <c r="J32" s="6" t="s">
        <v>7105</v>
      </c>
      <c r="K32" s="224" t="n">
        <v>3</v>
      </c>
      <c r="L32" s="224" t="s">
        <v>6610</v>
      </c>
      <c r="M32" s="6" t="s">
        <v>7106</v>
      </c>
      <c r="N32" s="224" t="s">
        <v>6748</v>
      </c>
      <c r="O32" s="28" t="s">
        <v>6613</v>
      </c>
      <c r="P32" s="28" t="s">
        <v>620</v>
      </c>
      <c r="Q32" s="28" t="s">
        <v>7113</v>
      </c>
      <c r="R32" s="28" t="s">
        <v>620</v>
      </c>
      <c r="S32" s="28" t="s">
        <v>620</v>
      </c>
      <c r="T32" s="28" t="s">
        <v>620</v>
      </c>
      <c r="U32" s="28" t="s">
        <v>7108</v>
      </c>
      <c r="V32" s="6" t="s">
        <v>7182</v>
      </c>
      <c r="W32" s="6" t="s">
        <v>7183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4906</v>
      </c>
      <c r="B33" s="6" t="s">
        <v>7184</v>
      </c>
      <c r="C33" s="226" t="n">
        <v>32</v>
      </c>
      <c r="D33" s="224"/>
      <c r="E33" s="224"/>
      <c r="F33" s="28" t="s">
        <v>954</v>
      </c>
      <c r="G33" s="28" t="s">
        <v>620</v>
      </c>
      <c r="H33" s="28" t="s">
        <v>7097</v>
      </c>
      <c r="I33" s="28" t="s">
        <v>6634</v>
      </c>
      <c r="J33" s="6" t="s">
        <v>7185</v>
      </c>
      <c r="K33" s="224" t="n">
        <v>1</v>
      </c>
      <c r="L33" s="224" t="s">
        <v>6610</v>
      </c>
      <c r="M33" s="6" t="s">
        <v>7186</v>
      </c>
      <c r="N33" s="224" t="s">
        <v>7187</v>
      </c>
      <c r="O33" s="28" t="s">
        <v>6613</v>
      </c>
      <c r="P33" s="28" t="s">
        <v>620</v>
      </c>
      <c r="Q33" s="28" t="s">
        <v>7188</v>
      </c>
      <c r="R33" s="28" t="s">
        <v>620</v>
      </c>
      <c r="S33" s="28" t="s">
        <v>620</v>
      </c>
      <c r="T33" s="28" t="s">
        <v>620</v>
      </c>
      <c r="U33" s="28" t="s">
        <v>7189</v>
      </c>
      <c r="V33" s="6" t="s">
        <v>7190</v>
      </c>
      <c r="W33" s="6" t="s">
        <v>620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4908</v>
      </c>
      <c r="B34" s="6" t="s">
        <v>7191</v>
      </c>
      <c r="C34" s="226" t="n">
        <v>33</v>
      </c>
      <c r="D34" s="224"/>
      <c r="E34" s="224"/>
      <c r="F34" s="28" t="s">
        <v>954</v>
      </c>
      <c r="G34" s="28" t="s">
        <v>620</v>
      </c>
      <c r="H34" s="28" t="s">
        <v>7081</v>
      </c>
      <c r="I34" s="28" t="s">
        <v>6634</v>
      </c>
      <c r="J34" s="6" t="s">
        <v>7185</v>
      </c>
      <c r="K34" s="224" t="n">
        <v>1</v>
      </c>
      <c r="L34" s="224" t="s">
        <v>6610</v>
      </c>
      <c r="M34" s="6" t="s">
        <v>7186</v>
      </c>
      <c r="N34" s="224" t="s">
        <v>7187</v>
      </c>
      <c r="O34" s="28" t="s">
        <v>6613</v>
      </c>
      <c r="P34" s="28" t="s">
        <v>620</v>
      </c>
      <c r="Q34" s="28" t="s">
        <v>7188</v>
      </c>
      <c r="R34" s="28" t="s">
        <v>620</v>
      </c>
      <c r="S34" s="28" t="s">
        <v>620</v>
      </c>
      <c r="T34" s="28" t="s">
        <v>620</v>
      </c>
      <c r="U34" s="28" t="s">
        <v>7189</v>
      </c>
      <c r="V34" s="6" t="s">
        <v>7192</v>
      </c>
      <c r="W34" s="6" t="s">
        <v>620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4911</v>
      </c>
      <c r="B35" s="6" t="s">
        <v>7193</v>
      </c>
      <c r="C35" s="226" t="n">
        <v>4096</v>
      </c>
      <c r="D35" s="224"/>
      <c r="E35" s="224"/>
      <c r="F35" s="28" t="s">
        <v>292</v>
      </c>
      <c r="G35" s="28" t="s">
        <v>7194</v>
      </c>
      <c r="H35" s="28" t="s">
        <v>7118</v>
      </c>
      <c r="I35" s="28" t="s">
        <v>6634</v>
      </c>
      <c r="J35" s="6" t="s">
        <v>7185</v>
      </c>
      <c r="K35" s="224" t="n">
        <v>1</v>
      </c>
      <c r="L35" s="224" t="s">
        <v>6610</v>
      </c>
      <c r="M35" s="6" t="s">
        <v>7186</v>
      </c>
      <c r="N35" s="224" t="s">
        <v>7187</v>
      </c>
      <c r="O35" s="28" t="s">
        <v>6613</v>
      </c>
      <c r="P35" s="28" t="s">
        <v>620</v>
      </c>
      <c r="Q35" s="28" t="s">
        <v>7188</v>
      </c>
      <c r="R35" s="28" t="s">
        <v>620</v>
      </c>
      <c r="S35" s="28" t="s">
        <v>620</v>
      </c>
      <c r="T35" s="28" t="s">
        <v>620</v>
      </c>
      <c r="U35" s="28" t="s">
        <v>7189</v>
      </c>
      <c r="V35" s="6" t="s">
        <v>7195</v>
      </c>
      <c r="W35" s="6" t="s">
        <v>620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7196</v>
      </c>
      <c r="B36" s="6" t="s">
        <v>7197</v>
      </c>
      <c r="C36" s="226" t="n">
        <v>16384</v>
      </c>
      <c r="D36" s="224"/>
      <c r="E36" s="224"/>
      <c r="F36" s="28" t="s">
        <v>292</v>
      </c>
      <c r="G36" s="224" t="s">
        <v>7198</v>
      </c>
      <c r="H36" s="28" t="s">
        <v>7118</v>
      </c>
      <c r="I36" s="28" t="s">
        <v>6634</v>
      </c>
      <c r="J36" s="6" t="s">
        <v>7185</v>
      </c>
      <c r="K36" s="224" t="n">
        <v>1</v>
      </c>
      <c r="L36" s="224" t="s">
        <v>6610</v>
      </c>
      <c r="M36" s="6" t="s">
        <v>7186</v>
      </c>
      <c r="N36" s="224" t="s">
        <v>7187</v>
      </c>
      <c r="O36" s="28" t="s">
        <v>6613</v>
      </c>
      <c r="P36" s="28" t="s">
        <v>620</v>
      </c>
      <c r="Q36" s="28" t="s">
        <v>7188</v>
      </c>
      <c r="R36" s="28" t="s">
        <v>620</v>
      </c>
      <c r="S36" s="28" t="s">
        <v>620</v>
      </c>
      <c r="T36" s="28" t="s">
        <v>620</v>
      </c>
      <c r="U36" s="28" t="s">
        <v>7189</v>
      </c>
      <c r="V36" s="6" t="s">
        <v>620</v>
      </c>
      <c r="W36" s="6" t="s">
        <v>620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5360</v>
      </c>
      <c r="B37" s="6" t="s">
        <v>7199</v>
      </c>
      <c r="C37" s="226" t="n">
        <v>4.6E+026</v>
      </c>
      <c r="D37" s="224"/>
      <c r="E37" s="224"/>
      <c r="F37" s="28" t="s">
        <v>314</v>
      </c>
      <c r="G37" s="224" t="s">
        <v>7200</v>
      </c>
      <c r="H37" s="28" t="s">
        <v>7201</v>
      </c>
      <c r="I37" s="28" t="s">
        <v>7202</v>
      </c>
      <c r="J37" s="6" t="s">
        <v>7203</v>
      </c>
      <c r="K37" s="224" t="n">
        <v>1</v>
      </c>
      <c r="L37" s="224" t="s">
        <v>6717</v>
      </c>
      <c r="M37" s="6" t="s">
        <v>7204</v>
      </c>
      <c r="N37" s="224" t="s">
        <v>7205</v>
      </c>
      <c r="O37" s="28" t="s">
        <v>6613</v>
      </c>
      <c r="P37" s="28" t="s">
        <v>620</v>
      </c>
      <c r="Q37" s="28" t="s">
        <v>7206</v>
      </c>
      <c r="R37" s="28" t="s">
        <v>620</v>
      </c>
      <c r="S37" s="28" t="s">
        <v>620</v>
      </c>
      <c r="T37" s="28" t="s">
        <v>620</v>
      </c>
      <c r="U37" s="28" t="s">
        <v>7207</v>
      </c>
      <c r="V37" s="6" t="s">
        <v>7208</v>
      </c>
      <c r="W37" s="19" t="s">
        <v>7209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2905</v>
      </c>
      <c r="B38" s="6" t="s">
        <v>7210</v>
      </c>
      <c r="C38" s="226" t="n">
        <v>0.147</v>
      </c>
      <c r="D38" s="224"/>
      <c r="E38" s="224"/>
      <c r="F38" s="28" t="s">
        <v>7211</v>
      </c>
      <c r="G38" s="28" t="s">
        <v>7212</v>
      </c>
      <c r="H38" s="28" t="s">
        <v>7213</v>
      </c>
      <c r="I38" s="28" t="s">
        <v>7214</v>
      </c>
      <c r="J38" s="6" t="s">
        <v>7215</v>
      </c>
      <c r="K38" s="224" t="n">
        <v>2</v>
      </c>
      <c r="L38" s="224" t="s">
        <v>6610</v>
      </c>
      <c r="M38" s="6" t="s">
        <v>7216</v>
      </c>
      <c r="N38" s="224" t="s">
        <v>6623</v>
      </c>
      <c r="O38" s="28" t="s">
        <v>6613</v>
      </c>
      <c r="P38" s="28" t="s">
        <v>620</v>
      </c>
      <c r="Q38" s="28" t="s">
        <v>7217</v>
      </c>
      <c r="R38" s="28" t="s">
        <v>620</v>
      </c>
      <c r="S38" s="28" t="s">
        <v>620</v>
      </c>
      <c r="T38" s="28" t="s">
        <v>620</v>
      </c>
      <c r="U38" s="28" t="s">
        <v>7218</v>
      </c>
      <c r="V38" s="6" t="s">
        <v>7219</v>
      </c>
      <c r="W38" s="6" t="s">
        <v>7220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7221</v>
      </c>
      <c r="B39" s="6" t="s">
        <v>7222</v>
      </c>
      <c r="C39" s="226" t="n">
        <v>0.14</v>
      </c>
      <c r="D39" s="224"/>
      <c r="E39" s="224"/>
      <c r="F39" s="28" t="s">
        <v>7223</v>
      </c>
      <c r="G39" s="224" t="s">
        <v>7224</v>
      </c>
      <c r="H39" s="28" t="s">
        <v>7225</v>
      </c>
      <c r="I39" s="28" t="s">
        <v>7226</v>
      </c>
      <c r="J39" s="6" t="s">
        <v>7227</v>
      </c>
      <c r="K39" s="224" t="n">
        <v>2</v>
      </c>
      <c r="L39" s="224" t="s">
        <v>6610</v>
      </c>
      <c r="M39" s="6" t="s">
        <v>7228</v>
      </c>
      <c r="N39" s="224" t="s">
        <v>6623</v>
      </c>
      <c r="O39" s="28" t="s">
        <v>6613</v>
      </c>
      <c r="P39" s="28" t="s">
        <v>620</v>
      </c>
      <c r="Q39" s="28" t="s">
        <v>7229</v>
      </c>
      <c r="R39" s="28" t="s">
        <v>620</v>
      </c>
      <c r="S39" s="28" t="s">
        <v>620</v>
      </c>
      <c r="T39" s="28" t="s">
        <v>620</v>
      </c>
      <c r="U39" s="28" t="s">
        <v>7230</v>
      </c>
      <c r="V39" s="6" t="s">
        <v>620</v>
      </c>
      <c r="W39" s="6" t="s">
        <v>620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2911</v>
      </c>
      <c r="B40" s="6" t="s">
        <v>7231</v>
      </c>
      <c r="C40" s="226" t="n">
        <v>1</v>
      </c>
      <c r="D40" s="224"/>
      <c r="E40" s="224"/>
      <c r="F40" s="28" t="s">
        <v>103</v>
      </c>
      <c r="G40" s="224" t="s">
        <v>7232</v>
      </c>
      <c r="H40" s="28" t="s">
        <v>7233</v>
      </c>
      <c r="I40" s="28" t="s">
        <v>7234</v>
      </c>
      <c r="J40" s="6" t="s">
        <v>7235</v>
      </c>
      <c r="K40" s="224" t="n">
        <v>1</v>
      </c>
      <c r="L40" s="224" t="s">
        <v>6610</v>
      </c>
      <c r="M40" s="6" t="s">
        <v>7236</v>
      </c>
      <c r="N40" s="224" t="s">
        <v>7187</v>
      </c>
      <c r="O40" s="28" t="s">
        <v>6613</v>
      </c>
      <c r="P40" s="28" t="s">
        <v>620</v>
      </c>
      <c r="Q40" s="28" t="s">
        <v>7237</v>
      </c>
      <c r="R40" s="28" t="s">
        <v>620</v>
      </c>
      <c r="S40" s="28" t="s">
        <v>620</v>
      </c>
      <c r="T40" s="28" t="s">
        <v>620</v>
      </c>
      <c r="U40" s="28" t="s">
        <v>7238</v>
      </c>
      <c r="V40" s="6" t="s">
        <v>7239</v>
      </c>
      <c r="W40" s="19" t="s">
        <v>7240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7241</v>
      </c>
      <c r="B41" s="6" t="s">
        <v>7242</v>
      </c>
      <c r="C41" s="226" t="n">
        <v>200000</v>
      </c>
      <c r="D41" s="224"/>
      <c r="E41" s="224"/>
      <c r="F41" s="28" t="s">
        <v>731</v>
      </c>
      <c r="G41" s="28" t="s">
        <v>620</v>
      </c>
      <c r="H41" s="28" t="s">
        <v>7233</v>
      </c>
      <c r="I41" s="28" t="s">
        <v>7234</v>
      </c>
      <c r="J41" s="6" t="s">
        <v>7235</v>
      </c>
      <c r="K41" s="224" t="n">
        <v>1</v>
      </c>
      <c r="L41" s="224" t="s">
        <v>6610</v>
      </c>
      <c r="M41" s="6" t="s">
        <v>7236</v>
      </c>
      <c r="N41" s="224" t="s">
        <v>7187</v>
      </c>
      <c r="O41" s="28" t="s">
        <v>6613</v>
      </c>
      <c r="P41" s="28" t="s">
        <v>620</v>
      </c>
      <c r="Q41" s="28" t="s">
        <v>7237</v>
      </c>
      <c r="R41" s="28" t="s">
        <v>620</v>
      </c>
      <c r="S41" s="28" t="s">
        <v>620</v>
      </c>
      <c r="T41" s="28" t="s">
        <v>620</v>
      </c>
      <c r="U41" s="28" t="s">
        <v>7238</v>
      </c>
      <c r="V41" s="6" t="s">
        <v>620</v>
      </c>
      <c r="W41" s="6" t="s">
        <v>620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7243</v>
      </c>
      <c r="B42" s="6" t="s">
        <v>7244</v>
      </c>
      <c r="C42" s="226" t="n">
        <v>10</v>
      </c>
      <c r="D42" s="224"/>
      <c r="E42" s="224"/>
      <c r="F42" s="28" t="s">
        <v>103</v>
      </c>
      <c r="G42" s="224" t="s">
        <v>7245</v>
      </c>
      <c r="H42" s="28" t="s">
        <v>7233</v>
      </c>
      <c r="I42" s="28" t="s">
        <v>7234</v>
      </c>
      <c r="J42" s="6" t="s">
        <v>7235</v>
      </c>
      <c r="K42" s="224" t="n">
        <v>1</v>
      </c>
      <c r="L42" s="224" t="s">
        <v>6610</v>
      </c>
      <c r="M42" s="6" t="s">
        <v>7236</v>
      </c>
      <c r="N42" s="224" t="s">
        <v>7187</v>
      </c>
      <c r="O42" s="28" t="s">
        <v>6613</v>
      </c>
      <c r="P42" s="28" t="s">
        <v>620</v>
      </c>
      <c r="Q42" s="28" t="s">
        <v>7237</v>
      </c>
      <c r="R42" s="28" t="s">
        <v>620</v>
      </c>
      <c r="S42" s="28" t="s">
        <v>620</v>
      </c>
      <c r="T42" s="28" t="s">
        <v>620</v>
      </c>
      <c r="U42" s="28" t="s">
        <v>7238</v>
      </c>
      <c r="V42" s="6" t="s">
        <v>620</v>
      </c>
      <c r="W42" s="6" t="s">
        <v>620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4914</v>
      </c>
      <c r="B43" s="6" t="s">
        <v>7246</v>
      </c>
      <c r="C43" s="226" t="n">
        <v>14.8</v>
      </c>
      <c r="D43" s="224"/>
      <c r="E43" s="224"/>
      <c r="F43" s="28" t="s">
        <v>954</v>
      </c>
      <c r="G43" s="28" t="s">
        <v>620</v>
      </c>
      <c r="H43" s="28" t="s">
        <v>7247</v>
      </c>
      <c r="I43" s="28" t="s">
        <v>7248</v>
      </c>
      <c r="J43" s="6" t="s">
        <v>7249</v>
      </c>
      <c r="K43" s="224" t="n">
        <v>3</v>
      </c>
      <c r="L43" s="224" t="s">
        <v>6610</v>
      </c>
      <c r="M43" s="6" t="s">
        <v>7250</v>
      </c>
      <c r="N43" s="224" t="s">
        <v>6748</v>
      </c>
      <c r="O43" s="28" t="s">
        <v>6613</v>
      </c>
      <c r="P43" s="28" t="s">
        <v>620</v>
      </c>
      <c r="Q43" s="28" t="s">
        <v>7251</v>
      </c>
      <c r="R43" s="28" t="s">
        <v>620</v>
      </c>
      <c r="S43" s="28" t="s">
        <v>620</v>
      </c>
      <c r="T43" s="28" t="s">
        <v>620</v>
      </c>
      <c r="U43" s="28" t="s">
        <v>985</v>
      </c>
      <c r="V43" s="6" t="s">
        <v>7252</v>
      </c>
      <c r="W43" s="6" t="s">
        <v>620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4917</v>
      </c>
      <c r="B44" s="6" t="s">
        <v>7253</v>
      </c>
      <c r="C44" s="226" t="n">
        <v>2.664</v>
      </c>
      <c r="D44" s="224"/>
      <c r="E44" s="224"/>
      <c r="F44" s="28" t="s">
        <v>7254</v>
      </c>
      <c r="G44" s="224" t="s">
        <v>7255</v>
      </c>
      <c r="H44" s="28" t="s">
        <v>7247</v>
      </c>
      <c r="I44" s="28" t="s">
        <v>7248</v>
      </c>
      <c r="J44" s="6" t="s">
        <v>7249</v>
      </c>
      <c r="K44" s="224" t="n">
        <v>3</v>
      </c>
      <c r="L44" s="224" t="s">
        <v>6610</v>
      </c>
      <c r="M44" s="6" t="s">
        <v>7250</v>
      </c>
      <c r="N44" s="224" t="s">
        <v>6748</v>
      </c>
      <c r="O44" s="28" t="s">
        <v>6613</v>
      </c>
      <c r="P44" s="28" t="s">
        <v>620</v>
      </c>
      <c r="Q44" s="28" t="s">
        <v>7251</v>
      </c>
      <c r="R44" s="28" t="s">
        <v>620</v>
      </c>
      <c r="S44" s="28" t="s">
        <v>620</v>
      </c>
      <c r="T44" s="28" t="s">
        <v>620</v>
      </c>
      <c r="U44" s="28" t="s">
        <v>985</v>
      </c>
      <c r="V44" s="6" t="s">
        <v>7256</v>
      </c>
      <c r="W44" s="6" t="s">
        <v>620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7257</v>
      </c>
      <c r="B45" s="6" t="s">
        <v>7258</v>
      </c>
      <c r="C45" s="226" t="n">
        <v>2.788</v>
      </c>
      <c r="D45" s="224"/>
      <c r="E45" s="224"/>
      <c r="F45" s="28" t="s">
        <v>7254</v>
      </c>
      <c r="G45" s="224" t="s">
        <v>7259</v>
      </c>
      <c r="H45" s="28" t="s">
        <v>7247</v>
      </c>
      <c r="I45" s="28" t="s">
        <v>7248</v>
      </c>
      <c r="J45" s="6" t="s">
        <v>7249</v>
      </c>
      <c r="K45" s="224" t="n">
        <v>3</v>
      </c>
      <c r="L45" s="224" t="s">
        <v>6610</v>
      </c>
      <c r="M45" s="6" t="s">
        <v>7250</v>
      </c>
      <c r="N45" s="224" t="s">
        <v>6748</v>
      </c>
      <c r="O45" s="28" t="s">
        <v>6613</v>
      </c>
      <c r="P45" s="28" t="s">
        <v>620</v>
      </c>
      <c r="Q45" s="28" t="s">
        <v>7251</v>
      </c>
      <c r="R45" s="28" t="s">
        <v>620</v>
      </c>
      <c r="S45" s="28" t="s">
        <v>620</v>
      </c>
      <c r="T45" s="28" t="s">
        <v>620</v>
      </c>
      <c r="U45" s="28" t="s">
        <v>985</v>
      </c>
      <c r="V45" s="6" t="s">
        <v>620</v>
      </c>
      <c r="W45" s="6" t="s">
        <v>620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4920</v>
      </c>
      <c r="B46" s="6" t="s">
        <v>7260</v>
      </c>
      <c r="C46" s="226" t="n">
        <v>4096</v>
      </c>
      <c r="D46" s="224"/>
      <c r="E46" s="224"/>
      <c r="F46" s="28" t="s">
        <v>292</v>
      </c>
      <c r="G46" s="28" t="s">
        <v>620</v>
      </c>
      <c r="H46" s="28" t="s">
        <v>7247</v>
      </c>
      <c r="I46" s="28" t="s">
        <v>7248</v>
      </c>
      <c r="J46" s="6" t="s">
        <v>7249</v>
      </c>
      <c r="K46" s="224" t="n">
        <v>3</v>
      </c>
      <c r="L46" s="224" t="s">
        <v>6610</v>
      </c>
      <c r="M46" s="6" t="s">
        <v>7250</v>
      </c>
      <c r="N46" s="224" t="s">
        <v>6748</v>
      </c>
      <c r="O46" s="28" t="s">
        <v>6613</v>
      </c>
      <c r="P46" s="28" t="s">
        <v>620</v>
      </c>
      <c r="Q46" s="28" t="s">
        <v>7251</v>
      </c>
      <c r="R46" s="28" t="s">
        <v>620</v>
      </c>
      <c r="S46" s="28" t="s">
        <v>620</v>
      </c>
      <c r="T46" s="28" t="s">
        <v>620</v>
      </c>
      <c r="U46" s="28" t="s">
        <v>985</v>
      </c>
      <c r="V46" s="6" t="s">
        <v>7261</v>
      </c>
      <c r="W46" s="6" t="s">
        <v>620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4925</v>
      </c>
      <c r="B47" s="19" t="s">
        <v>7262</v>
      </c>
      <c r="C47" s="226" t="n">
        <v>1</v>
      </c>
      <c r="D47" s="224"/>
      <c r="E47" s="224"/>
      <c r="F47" s="28" t="s">
        <v>7263</v>
      </c>
      <c r="G47" s="224" t="s">
        <v>7264</v>
      </c>
      <c r="H47" s="28" t="s">
        <v>1234</v>
      </c>
      <c r="I47" s="28" t="s">
        <v>1224</v>
      </c>
      <c r="J47" s="6" t="s">
        <v>7265</v>
      </c>
      <c r="K47" s="224" t="n">
        <v>1</v>
      </c>
      <c r="L47" s="224" t="s">
        <v>6610</v>
      </c>
      <c r="M47" s="6" t="s">
        <v>7186</v>
      </c>
      <c r="N47" s="224" t="s">
        <v>7187</v>
      </c>
      <c r="O47" s="28" t="s">
        <v>6613</v>
      </c>
      <c r="P47" s="28" t="s">
        <v>620</v>
      </c>
      <c r="Q47" s="28" t="s">
        <v>7266</v>
      </c>
      <c r="R47" s="28" t="s">
        <v>620</v>
      </c>
      <c r="S47" s="28" t="s">
        <v>620</v>
      </c>
      <c r="T47" s="28" t="s">
        <v>620</v>
      </c>
      <c r="U47" s="28" t="s">
        <v>7267</v>
      </c>
      <c r="V47" s="6" t="s">
        <v>7268</v>
      </c>
      <c r="W47" s="6" t="s">
        <v>7269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7270</v>
      </c>
      <c r="B48" s="19" t="s">
        <v>7271</v>
      </c>
      <c r="C48" s="226" t="n">
        <v>1</v>
      </c>
      <c r="D48" s="224"/>
      <c r="E48" s="224"/>
      <c r="F48" s="28" t="s">
        <v>7263</v>
      </c>
      <c r="G48" s="224" t="s">
        <v>7264</v>
      </c>
      <c r="H48" s="28" t="s">
        <v>7272</v>
      </c>
      <c r="I48" s="28" t="s">
        <v>7273</v>
      </c>
      <c r="J48" s="6" t="s">
        <v>7274</v>
      </c>
      <c r="K48" s="224" t="n">
        <v>1</v>
      </c>
      <c r="L48" s="224" t="s">
        <v>6610</v>
      </c>
      <c r="M48" s="6" t="s">
        <v>7275</v>
      </c>
      <c r="N48" s="224" t="s">
        <v>7187</v>
      </c>
      <c r="O48" s="28" t="s">
        <v>6613</v>
      </c>
      <c r="P48" s="28" t="s">
        <v>620</v>
      </c>
      <c r="Q48" s="28" t="s">
        <v>7276</v>
      </c>
      <c r="R48" s="28" t="s">
        <v>620</v>
      </c>
      <c r="S48" s="28" t="s">
        <v>620</v>
      </c>
      <c r="T48" s="28" t="s">
        <v>620</v>
      </c>
      <c r="U48" s="28" t="s">
        <v>7277</v>
      </c>
      <c r="V48" s="6" t="s">
        <v>7268</v>
      </c>
      <c r="W48" s="6" t="s">
        <v>620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7278</v>
      </c>
      <c r="B49" s="19" t="s">
        <v>7279</v>
      </c>
      <c r="C49" s="226" t="n">
        <v>1</v>
      </c>
      <c r="D49" s="224"/>
      <c r="E49" s="224"/>
      <c r="F49" s="28" t="s">
        <v>7263</v>
      </c>
      <c r="G49" s="224" t="s">
        <v>7264</v>
      </c>
      <c r="H49" s="28" t="s">
        <v>1251</v>
      </c>
      <c r="I49" s="28" t="s">
        <v>7214</v>
      </c>
      <c r="J49" s="6" t="s">
        <v>7280</v>
      </c>
      <c r="K49" s="224" t="n">
        <v>2</v>
      </c>
      <c r="L49" s="224" t="s">
        <v>6610</v>
      </c>
      <c r="M49" s="6" t="s">
        <v>7280</v>
      </c>
      <c r="N49" s="224" t="s">
        <v>6623</v>
      </c>
      <c r="O49" s="28" t="s">
        <v>6613</v>
      </c>
      <c r="P49" s="28" t="s">
        <v>620</v>
      </c>
      <c r="Q49" s="28" t="s">
        <v>7281</v>
      </c>
      <c r="R49" s="28" t="s">
        <v>620</v>
      </c>
      <c r="S49" s="28" t="s">
        <v>620</v>
      </c>
      <c r="T49" s="28" t="s">
        <v>620</v>
      </c>
      <c r="U49" s="28" t="s">
        <v>7282</v>
      </c>
      <c r="V49" s="6" t="s">
        <v>7268</v>
      </c>
      <c r="W49" s="6" t="s">
        <v>620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5230</v>
      </c>
      <c r="B50" s="6" t="s">
        <v>7283</v>
      </c>
      <c r="C50" s="226" t="n">
        <v>1.5</v>
      </c>
      <c r="D50" s="224"/>
      <c r="E50" s="224"/>
      <c r="F50" s="28" t="s">
        <v>103</v>
      </c>
      <c r="G50" s="224" t="s">
        <v>7284</v>
      </c>
      <c r="H50" s="28" t="s">
        <v>1251</v>
      </c>
      <c r="I50" s="28" t="s">
        <v>7214</v>
      </c>
      <c r="J50" s="6" t="s">
        <v>7280</v>
      </c>
      <c r="K50" s="224" t="n">
        <v>2</v>
      </c>
      <c r="L50" s="224" t="s">
        <v>6610</v>
      </c>
      <c r="M50" s="6" t="s">
        <v>7280</v>
      </c>
      <c r="N50" s="224" t="s">
        <v>6623</v>
      </c>
      <c r="O50" s="28" t="s">
        <v>6613</v>
      </c>
      <c r="P50" s="28" t="s">
        <v>620</v>
      </c>
      <c r="Q50" s="28" t="s">
        <v>7281</v>
      </c>
      <c r="R50" s="28" t="s">
        <v>620</v>
      </c>
      <c r="S50" s="28" t="s">
        <v>620</v>
      </c>
      <c r="T50" s="28" t="s">
        <v>620</v>
      </c>
      <c r="U50" s="28" t="s">
        <v>7282</v>
      </c>
      <c r="V50" s="6" t="s">
        <v>620</v>
      </c>
      <c r="W50" s="6" t="s">
        <v>620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7285</v>
      </c>
      <c r="B51" s="19" t="s">
        <v>7286</v>
      </c>
      <c r="C51" s="226" t="n">
        <v>1</v>
      </c>
      <c r="D51" s="224"/>
      <c r="E51" s="224"/>
      <c r="F51" s="28" t="s">
        <v>7263</v>
      </c>
      <c r="G51" s="224" t="s">
        <v>7264</v>
      </c>
      <c r="H51" s="28" t="s">
        <v>7287</v>
      </c>
      <c r="I51" s="28" t="s">
        <v>7234</v>
      </c>
      <c r="J51" s="6" t="s">
        <v>7288</v>
      </c>
      <c r="K51" s="224" t="n">
        <v>1</v>
      </c>
      <c r="L51" s="224" t="s">
        <v>6610</v>
      </c>
      <c r="M51" s="6" t="s">
        <v>7289</v>
      </c>
      <c r="N51" s="224" t="s">
        <v>7187</v>
      </c>
      <c r="O51" s="28" t="s">
        <v>6613</v>
      </c>
      <c r="P51" s="28" t="s">
        <v>620</v>
      </c>
      <c r="Q51" s="28" t="s">
        <v>7290</v>
      </c>
      <c r="R51" s="28" t="s">
        <v>620</v>
      </c>
      <c r="S51" s="28" t="s">
        <v>620</v>
      </c>
      <c r="T51" s="28" t="s">
        <v>620</v>
      </c>
      <c r="U51" s="28" t="s">
        <v>7291</v>
      </c>
      <c r="V51" s="6" t="s">
        <v>7268</v>
      </c>
      <c r="W51" s="6" t="s">
        <v>620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7292</v>
      </c>
      <c r="B52" s="6" t="s">
        <v>7293</v>
      </c>
      <c r="C52" s="226" t="n">
        <v>10.7</v>
      </c>
      <c r="D52" s="224"/>
      <c r="E52" s="224"/>
      <c r="F52" s="28" t="s">
        <v>103</v>
      </c>
      <c r="G52" s="224" t="s">
        <v>7294</v>
      </c>
      <c r="H52" s="28" t="s">
        <v>7287</v>
      </c>
      <c r="I52" s="28" t="s">
        <v>7234</v>
      </c>
      <c r="J52" s="6" t="s">
        <v>7288</v>
      </c>
      <c r="K52" s="224" t="n">
        <v>1</v>
      </c>
      <c r="L52" s="224" t="s">
        <v>6610</v>
      </c>
      <c r="M52" s="6" t="s">
        <v>7289</v>
      </c>
      <c r="N52" s="224" t="s">
        <v>7187</v>
      </c>
      <c r="O52" s="28" t="s">
        <v>6613</v>
      </c>
      <c r="P52" s="28" t="s">
        <v>620</v>
      </c>
      <c r="Q52" s="28" t="s">
        <v>7290</v>
      </c>
      <c r="R52" s="28" t="s">
        <v>620</v>
      </c>
      <c r="S52" s="28" t="s">
        <v>620</v>
      </c>
      <c r="T52" s="28" t="s">
        <v>620</v>
      </c>
      <c r="U52" s="28" t="s">
        <v>7291</v>
      </c>
      <c r="V52" s="6" t="s">
        <v>620</v>
      </c>
      <c r="W52" s="6" t="s">
        <v>620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4780</v>
      </c>
      <c r="B53" s="6" t="s">
        <v>7295</v>
      </c>
      <c r="C53" s="226" t="n">
        <v>128</v>
      </c>
      <c r="D53" s="224"/>
      <c r="E53" s="224"/>
      <c r="F53" s="224" t="s">
        <v>329</v>
      </c>
      <c r="G53" s="28" t="s">
        <v>7296</v>
      </c>
      <c r="H53" s="28" t="s">
        <v>7164</v>
      </c>
      <c r="I53" s="28" t="s">
        <v>620</v>
      </c>
      <c r="J53" s="6" t="s">
        <v>6899</v>
      </c>
      <c r="K53" s="224" t="n">
        <v>3</v>
      </c>
      <c r="L53" s="224" t="s">
        <v>6610</v>
      </c>
      <c r="M53" s="6" t="s">
        <v>7297</v>
      </c>
      <c r="N53" s="224" t="s">
        <v>6748</v>
      </c>
      <c r="O53" s="28" t="s">
        <v>6613</v>
      </c>
      <c r="P53" s="28" t="s">
        <v>620</v>
      </c>
      <c r="Q53" s="28" t="s">
        <v>6908</v>
      </c>
      <c r="R53" s="28" t="s">
        <v>620</v>
      </c>
      <c r="S53" s="28" t="s">
        <v>620</v>
      </c>
      <c r="T53" s="28" t="s">
        <v>620</v>
      </c>
      <c r="U53" s="28" t="s">
        <v>6901</v>
      </c>
      <c r="V53" s="6" t="s">
        <v>620</v>
      </c>
      <c r="W53" s="6" t="s">
        <v>6912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7298</v>
      </c>
      <c r="B54" s="6" t="s">
        <v>7299</v>
      </c>
      <c r="C54" s="226" t="n">
        <v>192</v>
      </c>
      <c r="D54" s="224"/>
      <c r="E54" s="224"/>
      <c r="F54" s="224" t="s">
        <v>7094</v>
      </c>
      <c r="G54" s="28" t="s">
        <v>7296</v>
      </c>
      <c r="H54" s="28" t="s">
        <v>7164</v>
      </c>
      <c r="I54" s="28" t="s">
        <v>620</v>
      </c>
      <c r="J54" s="6" t="s">
        <v>6899</v>
      </c>
      <c r="K54" s="224" t="n">
        <v>3</v>
      </c>
      <c r="L54" s="224" t="s">
        <v>6610</v>
      </c>
      <c r="M54" s="6" t="s">
        <v>7297</v>
      </c>
      <c r="N54" s="224" t="s">
        <v>6748</v>
      </c>
      <c r="O54" s="28" t="s">
        <v>6613</v>
      </c>
      <c r="P54" s="28" t="s">
        <v>620</v>
      </c>
      <c r="Q54" s="28" t="s">
        <v>6908</v>
      </c>
      <c r="R54" s="28" t="s">
        <v>620</v>
      </c>
      <c r="S54" s="28" t="s">
        <v>620</v>
      </c>
      <c r="T54" s="28" t="s">
        <v>620</v>
      </c>
      <c r="U54" s="28" t="s">
        <v>6901</v>
      </c>
      <c r="V54" s="6" t="s">
        <v>620</v>
      </c>
      <c r="W54" s="6" t="s">
        <v>6912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7300</v>
      </c>
      <c r="B55" s="6" t="s">
        <v>7301</v>
      </c>
      <c r="C55" s="226" t="n">
        <v>128</v>
      </c>
      <c r="D55" s="224"/>
      <c r="E55" s="224"/>
      <c r="F55" s="224" t="s">
        <v>7094</v>
      </c>
      <c r="G55" s="28" t="s">
        <v>7296</v>
      </c>
      <c r="H55" s="28" t="s">
        <v>7164</v>
      </c>
      <c r="I55" s="28" t="s">
        <v>620</v>
      </c>
      <c r="J55" s="6" t="s">
        <v>6899</v>
      </c>
      <c r="K55" s="224" t="n">
        <v>3</v>
      </c>
      <c r="L55" s="224" t="s">
        <v>6610</v>
      </c>
      <c r="M55" s="6" t="s">
        <v>7297</v>
      </c>
      <c r="N55" s="224" t="s">
        <v>6748</v>
      </c>
      <c r="O55" s="28" t="s">
        <v>6613</v>
      </c>
      <c r="P55" s="28" t="s">
        <v>620</v>
      </c>
      <c r="Q55" s="28" t="s">
        <v>6908</v>
      </c>
      <c r="R55" s="28" t="s">
        <v>620</v>
      </c>
      <c r="S55" s="28" t="s">
        <v>620</v>
      </c>
      <c r="T55" s="28" t="s">
        <v>620</v>
      </c>
      <c r="U55" s="28" t="s">
        <v>6901</v>
      </c>
      <c r="V55" s="6" t="s">
        <v>620</v>
      </c>
      <c r="W55" s="6" t="s">
        <v>6912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4418</v>
      </c>
      <c r="B56" s="6" t="s">
        <v>7302</v>
      </c>
      <c r="C56" s="226" t="n">
        <v>4096</v>
      </c>
      <c r="D56" s="224"/>
      <c r="E56" s="224"/>
      <c r="F56" s="224" t="s">
        <v>7094</v>
      </c>
      <c r="G56" s="28" t="s">
        <v>7303</v>
      </c>
      <c r="H56" s="28" t="s">
        <v>7104</v>
      </c>
      <c r="I56" s="28" t="s">
        <v>6620</v>
      </c>
      <c r="J56" s="6" t="s">
        <v>7304</v>
      </c>
      <c r="K56" s="224" t="n">
        <v>1</v>
      </c>
      <c r="L56" s="224" t="s">
        <v>6610</v>
      </c>
      <c r="M56" s="6" t="s">
        <v>7305</v>
      </c>
      <c r="N56" s="224" t="s">
        <v>7187</v>
      </c>
      <c r="O56" s="28" t="s">
        <v>6613</v>
      </c>
      <c r="P56" s="28" t="s">
        <v>620</v>
      </c>
      <c r="Q56" s="28" t="s">
        <v>7306</v>
      </c>
      <c r="R56" s="28" t="s">
        <v>620</v>
      </c>
      <c r="S56" s="28" t="s">
        <v>620</v>
      </c>
      <c r="T56" s="28" t="s">
        <v>620</v>
      </c>
      <c r="U56" s="28" t="s">
        <v>7307</v>
      </c>
      <c r="V56" s="6" t="s">
        <v>7308</v>
      </c>
      <c r="W56" s="19" t="s">
        <v>7309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2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4421</v>
      </c>
      <c r="B57" s="6" t="s">
        <v>7310</v>
      </c>
      <c r="C57" s="226" t="n">
        <v>64</v>
      </c>
      <c r="D57" s="224"/>
      <c r="E57" s="224"/>
      <c r="F57" s="224" t="s">
        <v>329</v>
      </c>
      <c r="G57" s="28" t="s">
        <v>7311</v>
      </c>
      <c r="H57" s="28" t="s">
        <v>7104</v>
      </c>
      <c r="I57" s="28" t="s">
        <v>6620</v>
      </c>
      <c r="J57" s="6" t="s">
        <v>7304</v>
      </c>
      <c r="K57" s="224" t="n">
        <v>1</v>
      </c>
      <c r="L57" s="224" t="s">
        <v>6610</v>
      </c>
      <c r="M57" s="6" t="s">
        <v>7305</v>
      </c>
      <c r="N57" s="224" t="s">
        <v>7187</v>
      </c>
      <c r="O57" s="28" t="s">
        <v>6613</v>
      </c>
      <c r="P57" s="28" t="s">
        <v>620</v>
      </c>
      <c r="Q57" s="28" t="s">
        <v>7306</v>
      </c>
      <c r="R57" s="28" t="s">
        <v>620</v>
      </c>
      <c r="S57" s="28" t="s">
        <v>620</v>
      </c>
      <c r="T57" s="28" t="s">
        <v>620</v>
      </c>
      <c r="U57" s="28" t="s">
        <v>7307</v>
      </c>
      <c r="V57" s="6" t="s">
        <v>7312</v>
      </c>
      <c r="W57" s="19" t="s">
        <v>7313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7314</v>
      </c>
      <c r="B58" s="6" t="s">
        <v>7315</v>
      </c>
      <c r="C58" s="226" t="n">
        <v>0.492</v>
      </c>
      <c r="D58" s="224"/>
      <c r="E58" s="224"/>
      <c r="F58" s="28" t="s">
        <v>99</v>
      </c>
      <c r="G58" s="28" t="s">
        <v>7316</v>
      </c>
      <c r="H58" s="28" t="s">
        <v>7112</v>
      </c>
      <c r="I58" s="28" t="s">
        <v>6620</v>
      </c>
      <c r="J58" s="6" t="s">
        <v>7317</v>
      </c>
      <c r="K58" s="224" t="n">
        <v>1</v>
      </c>
      <c r="L58" s="224" t="s">
        <v>6610</v>
      </c>
      <c r="M58" s="6" t="s">
        <v>7318</v>
      </c>
      <c r="N58" s="224" t="s">
        <v>6612</v>
      </c>
      <c r="O58" s="28" t="s">
        <v>6613</v>
      </c>
      <c r="P58" s="28" t="s">
        <v>620</v>
      </c>
      <c r="Q58" s="28" t="s">
        <v>7319</v>
      </c>
      <c r="R58" s="28" t="s">
        <v>620</v>
      </c>
      <c r="S58" s="28" t="s">
        <v>620</v>
      </c>
      <c r="T58" s="28" t="s">
        <v>620</v>
      </c>
      <c r="U58" s="28" t="s">
        <v>6929</v>
      </c>
      <c r="V58" s="6" t="s">
        <v>7320</v>
      </c>
      <c r="W58" s="6" t="s">
        <v>7321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2941</v>
      </c>
      <c r="B59" s="6" t="s">
        <v>7322</v>
      </c>
      <c r="C59" s="226" t="n">
        <v>1.0001E+027</v>
      </c>
      <c r="D59" s="226" t="n">
        <v>5E+026</v>
      </c>
      <c r="E59" s="226" t="n">
        <v>2E+027</v>
      </c>
      <c r="F59" s="28" t="s">
        <v>314</v>
      </c>
      <c r="G59" s="198" t="s">
        <v>7323</v>
      </c>
      <c r="H59" s="28" t="s">
        <v>1219</v>
      </c>
      <c r="I59" s="28" t="s">
        <v>7324</v>
      </c>
      <c r="J59" s="6" t="s">
        <v>7325</v>
      </c>
      <c r="K59" s="198" t="n">
        <v>1</v>
      </c>
      <c r="L59" s="198" t="s">
        <v>6717</v>
      </c>
      <c r="M59" s="6" t="s">
        <v>7326</v>
      </c>
      <c r="N59" s="198" t="s">
        <v>6612</v>
      </c>
      <c r="O59" s="28" t="s">
        <v>6613</v>
      </c>
      <c r="P59" s="28" t="s">
        <v>620</v>
      </c>
      <c r="Q59" s="28" t="s">
        <v>7327</v>
      </c>
      <c r="R59" s="28" t="s">
        <v>620</v>
      </c>
      <c r="S59" s="28" t="s">
        <v>620</v>
      </c>
      <c r="T59" s="28" t="s">
        <v>620</v>
      </c>
      <c r="U59" s="28" t="s">
        <v>7328</v>
      </c>
      <c r="V59" s="6" t="s">
        <v>7329</v>
      </c>
      <c r="W59" s="6" t="s">
        <v>7330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7331</v>
      </c>
      <c r="B60" s="6" t="s">
        <v>7332</v>
      </c>
      <c r="C60" s="226" t="n">
        <v>2800</v>
      </c>
      <c r="D60" s="198"/>
      <c r="E60" s="198"/>
      <c r="F60" s="28" t="s">
        <v>271</v>
      </c>
      <c r="G60" s="198" t="s">
        <v>7333</v>
      </c>
      <c r="H60" s="28" t="s">
        <v>7334</v>
      </c>
      <c r="I60" s="28" t="s">
        <v>6620</v>
      </c>
      <c r="J60" s="6" t="s">
        <v>7335</v>
      </c>
      <c r="K60" s="198" t="n">
        <v>1</v>
      </c>
      <c r="L60" s="198" t="s">
        <v>6610</v>
      </c>
      <c r="M60" s="6" t="s">
        <v>7336</v>
      </c>
      <c r="N60" s="198" t="s">
        <v>6612</v>
      </c>
      <c r="O60" s="28" t="s">
        <v>6613</v>
      </c>
      <c r="P60" s="28" t="s">
        <v>620</v>
      </c>
      <c r="Q60" s="28" t="s">
        <v>7337</v>
      </c>
      <c r="R60" s="28" t="s">
        <v>620</v>
      </c>
      <c r="S60" s="28" t="s">
        <v>620</v>
      </c>
      <c r="T60" s="28" t="s">
        <v>620</v>
      </c>
      <c r="U60" s="28" t="s">
        <v>7338</v>
      </c>
      <c r="V60" s="6" t="s">
        <v>620</v>
      </c>
      <c r="W60" s="6" t="s">
        <v>7339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7340</v>
      </c>
      <c r="B61" s="6" t="s">
        <v>7341</v>
      </c>
      <c r="C61" s="226" t="n">
        <v>104</v>
      </c>
      <c r="D61" s="198"/>
      <c r="E61" s="198"/>
      <c r="F61" s="28" t="s">
        <v>271</v>
      </c>
      <c r="G61" s="198" t="s">
        <v>7333</v>
      </c>
      <c r="H61" s="28" t="s">
        <v>7334</v>
      </c>
      <c r="I61" s="28" t="s">
        <v>6620</v>
      </c>
      <c r="J61" s="6" t="s">
        <v>7335</v>
      </c>
      <c r="K61" s="198" t="n">
        <v>1</v>
      </c>
      <c r="L61" s="198" t="s">
        <v>6610</v>
      </c>
      <c r="M61" s="6" t="s">
        <v>7336</v>
      </c>
      <c r="N61" s="198" t="s">
        <v>6612</v>
      </c>
      <c r="O61" s="28" t="s">
        <v>6613</v>
      </c>
      <c r="P61" s="28" t="s">
        <v>620</v>
      </c>
      <c r="Q61" s="28" t="s">
        <v>7337</v>
      </c>
      <c r="R61" s="28" t="s">
        <v>620</v>
      </c>
      <c r="S61" s="28" t="s">
        <v>620</v>
      </c>
      <c r="T61" s="28" t="s">
        <v>620</v>
      </c>
      <c r="U61" s="28" t="s">
        <v>7338</v>
      </c>
      <c r="V61" s="6" t="s">
        <v>620</v>
      </c>
      <c r="W61" s="6" t="s">
        <v>7342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7343</v>
      </c>
      <c r="B62" s="6" t="s">
        <v>7344</v>
      </c>
      <c r="C62" s="226" t="n">
        <v>93</v>
      </c>
      <c r="D62" s="198"/>
      <c r="E62" s="198"/>
      <c r="F62" s="198" t="s">
        <v>277</v>
      </c>
      <c r="G62" s="28" t="s">
        <v>7345</v>
      </c>
      <c r="H62" s="28" t="s">
        <v>7334</v>
      </c>
      <c r="I62" s="28" t="s">
        <v>6620</v>
      </c>
      <c r="J62" s="6" t="s">
        <v>7335</v>
      </c>
      <c r="K62" s="198" t="n">
        <v>1</v>
      </c>
      <c r="L62" s="198" t="s">
        <v>6610</v>
      </c>
      <c r="M62" s="6" t="s">
        <v>7336</v>
      </c>
      <c r="N62" s="198" t="s">
        <v>6612</v>
      </c>
      <c r="O62" s="28" t="s">
        <v>6613</v>
      </c>
      <c r="P62" s="28" t="s">
        <v>620</v>
      </c>
      <c r="Q62" s="28" t="s">
        <v>7337</v>
      </c>
      <c r="R62" s="28" t="s">
        <v>620</v>
      </c>
      <c r="S62" s="28" t="s">
        <v>620</v>
      </c>
      <c r="T62" s="28" t="s">
        <v>620</v>
      </c>
      <c r="U62" s="28" t="s">
        <v>7338</v>
      </c>
      <c r="V62" s="6" t="s">
        <v>620</v>
      </c>
      <c r="W62" s="6" t="s">
        <v>7346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7347</v>
      </c>
      <c r="B63" s="6" t="s">
        <v>7348</v>
      </c>
      <c r="C63" s="226" t="n">
        <v>7168</v>
      </c>
      <c r="D63" s="198"/>
      <c r="E63" s="198"/>
      <c r="F63" s="198" t="s">
        <v>7094</v>
      </c>
      <c r="G63" s="28" t="s">
        <v>7349</v>
      </c>
      <c r="H63" s="28" t="s">
        <v>7334</v>
      </c>
      <c r="I63" s="28" t="s">
        <v>6620</v>
      </c>
      <c r="J63" s="6" t="s">
        <v>7335</v>
      </c>
      <c r="K63" s="198" t="n">
        <v>1</v>
      </c>
      <c r="L63" s="198" t="s">
        <v>6610</v>
      </c>
      <c r="M63" s="6" t="s">
        <v>7336</v>
      </c>
      <c r="N63" s="198" t="s">
        <v>6612</v>
      </c>
      <c r="O63" s="28" t="s">
        <v>6613</v>
      </c>
      <c r="P63" s="28" t="s">
        <v>620</v>
      </c>
      <c r="Q63" s="28" t="s">
        <v>7337</v>
      </c>
      <c r="R63" s="28" t="s">
        <v>620</v>
      </c>
      <c r="S63" s="28" t="s">
        <v>620</v>
      </c>
      <c r="T63" s="28" t="s">
        <v>620</v>
      </c>
      <c r="U63" s="28" t="s">
        <v>7338</v>
      </c>
      <c r="V63" s="6" t="s">
        <v>620</v>
      </c>
      <c r="W63" s="6" t="s">
        <v>7350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7351</v>
      </c>
      <c r="B64" s="6" t="s">
        <v>7352</v>
      </c>
      <c r="C64" s="226" t="n">
        <v>896</v>
      </c>
      <c r="D64" s="198"/>
      <c r="E64" s="198"/>
      <c r="F64" s="198" t="s">
        <v>329</v>
      </c>
      <c r="G64" s="28" t="s">
        <v>7353</v>
      </c>
      <c r="H64" s="28" t="s">
        <v>7334</v>
      </c>
      <c r="I64" s="28" t="s">
        <v>6620</v>
      </c>
      <c r="J64" s="6" t="s">
        <v>7335</v>
      </c>
      <c r="K64" s="198" t="n">
        <v>1</v>
      </c>
      <c r="L64" s="198" t="s">
        <v>6610</v>
      </c>
      <c r="M64" s="6" t="s">
        <v>7336</v>
      </c>
      <c r="N64" s="198" t="s">
        <v>6612</v>
      </c>
      <c r="O64" s="28" t="s">
        <v>6613</v>
      </c>
      <c r="P64" s="28" t="s">
        <v>620</v>
      </c>
      <c r="Q64" s="28" t="s">
        <v>7337</v>
      </c>
      <c r="R64" s="28" t="s">
        <v>620</v>
      </c>
      <c r="S64" s="28" t="s">
        <v>620</v>
      </c>
      <c r="T64" s="28" t="s">
        <v>620</v>
      </c>
      <c r="U64" s="28" t="s">
        <v>7338</v>
      </c>
      <c r="V64" s="6" t="s">
        <v>620</v>
      </c>
      <c r="W64" s="6" t="s">
        <v>7354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7355</v>
      </c>
      <c r="B65" s="6" t="s">
        <v>7356</v>
      </c>
      <c r="C65" s="226" t="n">
        <v>16</v>
      </c>
      <c r="D65" s="198"/>
      <c r="E65" s="198"/>
      <c r="F65" s="198" t="s">
        <v>329</v>
      </c>
      <c r="G65" s="28" t="s">
        <v>7357</v>
      </c>
      <c r="H65" s="28" t="s">
        <v>7334</v>
      </c>
      <c r="I65" s="28" t="s">
        <v>6620</v>
      </c>
      <c r="J65" s="6" t="s">
        <v>7335</v>
      </c>
      <c r="K65" s="198" t="n">
        <v>1</v>
      </c>
      <c r="L65" s="198" t="s">
        <v>6610</v>
      </c>
      <c r="M65" s="6" t="s">
        <v>7336</v>
      </c>
      <c r="N65" s="198" t="s">
        <v>6612</v>
      </c>
      <c r="O65" s="28" t="s">
        <v>6613</v>
      </c>
      <c r="P65" s="28" t="s">
        <v>620</v>
      </c>
      <c r="Q65" s="28" t="s">
        <v>7337</v>
      </c>
      <c r="R65" s="28" t="s">
        <v>620</v>
      </c>
      <c r="S65" s="28" t="s">
        <v>620</v>
      </c>
      <c r="T65" s="28" t="s">
        <v>620</v>
      </c>
      <c r="U65" s="28" t="s">
        <v>7338</v>
      </c>
      <c r="V65" s="6" t="s">
        <v>620</v>
      </c>
      <c r="W65" s="6" t="s">
        <v>7358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7359</v>
      </c>
    </row>
    <row r="2" customFormat="false" ht="15" hidden="false" customHeight="true" outlineLevel="0" collapsed="false">
      <c r="A2" s="233" t="s">
        <v>6584</v>
      </c>
    </row>
    <row r="3" customFormat="false" ht="15" hidden="false" customHeight="true" outlineLevel="0" collapsed="false">
      <c r="A3" s="233" t="s">
        <v>6585</v>
      </c>
    </row>
    <row r="4" customFormat="false" ht="43.5" hidden="false" customHeight="true" outlineLevel="0" collapsed="false">
      <c r="A4" s="84" t="s">
        <v>6586</v>
      </c>
      <c r="B4" s="222" t="s">
        <v>2401</v>
      </c>
      <c r="C4" s="222" t="s">
        <v>6587</v>
      </c>
      <c r="D4" s="222" t="s">
        <v>1150</v>
      </c>
      <c r="E4" s="222" t="s">
        <v>1151</v>
      </c>
      <c r="F4" s="222" t="s">
        <v>83</v>
      </c>
      <c r="G4" s="222" t="s">
        <v>472</v>
      </c>
      <c r="H4" s="222" t="s">
        <v>6588</v>
      </c>
      <c r="I4" s="222" t="s">
        <v>5819</v>
      </c>
      <c r="J4" s="222" t="s">
        <v>5822</v>
      </c>
      <c r="K4" s="222" t="s">
        <v>5993</v>
      </c>
      <c r="L4" s="222" t="s">
        <v>6589</v>
      </c>
      <c r="M4" s="222" t="s">
        <v>6590</v>
      </c>
      <c r="N4" s="222" t="s">
        <v>6591</v>
      </c>
      <c r="O4" s="222" t="s">
        <v>607</v>
      </c>
      <c r="P4" s="222" t="s">
        <v>6592</v>
      </c>
      <c r="Q4" s="84" t="s">
        <v>6593</v>
      </c>
      <c r="R4" s="222" t="s">
        <v>6594</v>
      </c>
      <c r="S4" s="222" t="s">
        <v>6595</v>
      </c>
      <c r="T4" s="84" t="s">
        <v>6596</v>
      </c>
      <c r="U4" s="222" t="s">
        <v>6597</v>
      </c>
      <c r="V4" s="222" t="s">
        <v>6598</v>
      </c>
      <c r="W4" s="222" t="s">
        <v>6599</v>
      </c>
      <c r="X4" s="222" t="s">
        <v>6600</v>
      </c>
      <c r="Y4" s="222" t="s">
        <v>6601</v>
      </c>
      <c r="Z4" s="222" t="s">
        <v>6602</v>
      </c>
      <c r="AA4" s="222" t="s">
        <v>7360</v>
      </c>
      <c r="AB4" s="222" t="s">
        <v>453</v>
      </c>
      <c r="AC4" s="84" t="s">
        <v>460</v>
      </c>
      <c r="AD4" s="84" t="s">
        <v>461</v>
      </c>
      <c r="AE4" s="222" t="s">
        <v>7361</v>
      </c>
      <c r="AF4" s="84" t="s">
        <v>7362</v>
      </c>
      <c r="AG4" s="84" t="s">
        <v>7363</v>
      </c>
      <c r="AH4" s="83" t="s">
        <v>6603</v>
      </c>
    </row>
    <row r="5" customFormat="false" ht="29.25" hidden="false" customHeight="true" outlineLevel="0" collapsed="false">
      <c r="A5" s="28" t="s">
        <v>4662</v>
      </c>
      <c r="B5" s="6" t="s">
        <v>7364</v>
      </c>
      <c r="C5" s="226" t="n">
        <v>6182</v>
      </c>
      <c r="D5" s="224"/>
      <c r="E5" s="224"/>
      <c r="F5" s="28" t="s">
        <v>7365</v>
      </c>
      <c r="G5" s="28" t="s">
        <v>7366</v>
      </c>
      <c r="H5" s="28" t="s">
        <v>174</v>
      </c>
      <c r="I5" s="28" t="s">
        <v>7367</v>
      </c>
      <c r="J5" s="6" t="s">
        <v>7368</v>
      </c>
      <c r="K5" s="224" t="n">
        <v>1</v>
      </c>
      <c r="L5" s="224" t="s">
        <v>6610</v>
      </c>
      <c r="M5" s="6" t="s">
        <v>7369</v>
      </c>
      <c r="N5" s="224" t="s">
        <v>7187</v>
      </c>
      <c r="O5" s="28" t="s">
        <v>6613</v>
      </c>
      <c r="P5" s="28" t="s">
        <v>620</v>
      </c>
      <c r="Q5" s="28" t="s">
        <v>7370</v>
      </c>
      <c r="R5" s="28" t="s">
        <v>620</v>
      </c>
      <c r="S5" s="28" t="s">
        <v>620</v>
      </c>
      <c r="T5" s="28" t="s">
        <v>620</v>
      </c>
      <c r="U5" s="28" t="s">
        <v>466</v>
      </c>
      <c r="V5" s="6" t="s">
        <v>7371</v>
      </c>
      <c r="W5" s="19" t="s">
        <v>7372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7373</v>
      </c>
      <c r="AB5" s="28" t="s">
        <v>7374</v>
      </c>
      <c r="AC5" s="226" t="n">
        <v>8192</v>
      </c>
      <c r="AD5" s="226" t="n">
        <v>1024</v>
      </c>
      <c r="AE5" s="226" t="n">
        <v>27</v>
      </c>
      <c r="AF5" s="226" t="n">
        <v>0</v>
      </c>
      <c r="AG5" s="224" t="s">
        <v>7375</v>
      </c>
      <c r="AH5" s="42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4669</v>
      </c>
      <c r="B6" s="6" t="s">
        <v>7376</v>
      </c>
      <c r="C6" s="226" t="n">
        <v>2189</v>
      </c>
      <c r="D6" s="224"/>
      <c r="E6" s="224"/>
      <c r="F6" s="28" t="s">
        <v>7365</v>
      </c>
      <c r="G6" s="28" t="s">
        <v>7366</v>
      </c>
      <c r="H6" s="28" t="s">
        <v>173</v>
      </c>
      <c r="I6" s="28" t="s">
        <v>7367</v>
      </c>
      <c r="J6" s="6" t="s">
        <v>7368</v>
      </c>
      <c r="K6" s="224" t="n">
        <v>1</v>
      </c>
      <c r="L6" s="224" t="s">
        <v>6610</v>
      </c>
      <c r="M6" s="6" t="s">
        <v>7369</v>
      </c>
      <c r="N6" s="224" t="s">
        <v>7187</v>
      </c>
      <c r="O6" s="28" t="s">
        <v>6613</v>
      </c>
      <c r="P6" s="28" t="s">
        <v>620</v>
      </c>
      <c r="Q6" s="28" t="s">
        <v>7370</v>
      </c>
      <c r="R6" s="28" t="s">
        <v>620</v>
      </c>
      <c r="S6" s="28" t="s">
        <v>620</v>
      </c>
      <c r="T6" s="28" t="s">
        <v>620</v>
      </c>
      <c r="U6" s="28" t="s">
        <v>466</v>
      </c>
      <c r="V6" s="6" t="s">
        <v>7377</v>
      </c>
      <c r="W6" s="19" t="s">
        <v>7378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7373</v>
      </c>
      <c r="AB6" s="28" t="s">
        <v>7374</v>
      </c>
      <c r="AC6" s="226" t="n">
        <v>8192</v>
      </c>
      <c r="AD6" s="226" t="n">
        <v>1024</v>
      </c>
      <c r="AE6" s="226" t="n">
        <v>27</v>
      </c>
      <c r="AF6" s="226" t="n">
        <v>0</v>
      </c>
      <c r="AG6" s="224" t="s">
        <v>7375</v>
      </c>
      <c r="AH6" s="42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7379</v>
      </c>
      <c r="B7" s="6" t="s">
        <v>7380</v>
      </c>
      <c r="C7" s="226" t="n">
        <v>11056</v>
      </c>
      <c r="D7" s="224"/>
      <c r="E7" s="224"/>
      <c r="F7" s="28" t="s">
        <v>572</v>
      </c>
      <c r="G7" s="28" t="s">
        <v>620</v>
      </c>
      <c r="H7" s="28" t="s">
        <v>174</v>
      </c>
      <c r="I7" s="28" t="s">
        <v>7367</v>
      </c>
      <c r="J7" s="6" t="s">
        <v>7368</v>
      </c>
      <c r="K7" s="224" t="n">
        <v>1</v>
      </c>
      <c r="L7" s="224" t="s">
        <v>6610</v>
      </c>
      <c r="M7" s="6" t="s">
        <v>7369</v>
      </c>
      <c r="N7" s="224" t="s">
        <v>7187</v>
      </c>
      <c r="O7" s="28" t="s">
        <v>6613</v>
      </c>
      <c r="P7" s="28" t="s">
        <v>620</v>
      </c>
      <c r="Q7" s="28" t="s">
        <v>7370</v>
      </c>
      <c r="R7" s="28" t="s">
        <v>620</v>
      </c>
      <c r="S7" s="28" t="s">
        <v>620</v>
      </c>
      <c r="T7" s="28" t="s">
        <v>620</v>
      </c>
      <c r="U7" s="28" t="s">
        <v>466</v>
      </c>
      <c r="V7" s="6" t="s">
        <v>620</v>
      </c>
      <c r="W7" s="6" t="s">
        <v>620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4656</v>
      </c>
      <c r="B8" s="6" t="s">
        <v>7381</v>
      </c>
      <c r="C8" s="226" t="n">
        <v>11200</v>
      </c>
      <c r="D8" s="224"/>
      <c r="E8" s="224"/>
      <c r="F8" s="28" t="s">
        <v>7365</v>
      </c>
      <c r="G8" s="28" t="s">
        <v>7366</v>
      </c>
      <c r="H8" s="28" t="s">
        <v>174</v>
      </c>
      <c r="I8" s="28" t="s">
        <v>7382</v>
      </c>
      <c r="J8" s="6" t="s">
        <v>7383</v>
      </c>
      <c r="K8" s="224" t="n">
        <v>1</v>
      </c>
      <c r="L8" s="224" t="s">
        <v>6610</v>
      </c>
      <c r="M8" s="6" t="s">
        <v>7384</v>
      </c>
      <c r="N8" s="224" t="s">
        <v>7187</v>
      </c>
      <c r="O8" s="28" t="s">
        <v>6613</v>
      </c>
      <c r="P8" s="28" t="s">
        <v>620</v>
      </c>
      <c r="Q8" s="28" t="s">
        <v>7385</v>
      </c>
      <c r="R8" s="28" t="s">
        <v>620</v>
      </c>
      <c r="S8" s="28" t="s">
        <v>620</v>
      </c>
      <c r="T8" s="28" t="s">
        <v>620</v>
      </c>
      <c r="U8" s="28" t="s">
        <v>465</v>
      </c>
      <c r="V8" s="6" t="s">
        <v>7386</v>
      </c>
      <c r="W8" s="6" t="s">
        <v>620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7373</v>
      </c>
      <c r="AB8" s="28" t="s">
        <v>7387</v>
      </c>
      <c r="AC8" s="226" t="n">
        <v>8192</v>
      </c>
      <c r="AD8" s="226" t="n">
        <v>1024</v>
      </c>
      <c r="AE8" s="226" t="n">
        <v>50</v>
      </c>
      <c r="AF8" s="226" t="n">
        <v>1</v>
      </c>
      <c r="AG8" s="224" t="s">
        <v>7375</v>
      </c>
      <c r="AH8" s="42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4484</v>
      </c>
      <c r="B9" s="6" t="s">
        <v>7388</v>
      </c>
      <c r="C9" s="226" t="n">
        <v>0.7</v>
      </c>
      <c r="D9" s="224"/>
      <c r="E9" s="224"/>
      <c r="F9" s="28" t="s">
        <v>99</v>
      </c>
      <c r="G9" s="28" t="s">
        <v>7389</v>
      </c>
      <c r="H9" s="28" t="s">
        <v>7118</v>
      </c>
      <c r="I9" s="28" t="s">
        <v>7382</v>
      </c>
      <c r="J9" s="6" t="s">
        <v>7383</v>
      </c>
      <c r="K9" s="224" t="n">
        <v>1</v>
      </c>
      <c r="L9" s="224" t="s">
        <v>6610</v>
      </c>
      <c r="M9" s="6" t="s">
        <v>7384</v>
      </c>
      <c r="N9" s="224" t="s">
        <v>7187</v>
      </c>
      <c r="O9" s="28" t="s">
        <v>6613</v>
      </c>
      <c r="P9" s="28" t="s">
        <v>620</v>
      </c>
      <c r="Q9" s="28" t="s">
        <v>7385</v>
      </c>
      <c r="R9" s="28" t="s">
        <v>620</v>
      </c>
      <c r="S9" s="28" t="s">
        <v>620</v>
      </c>
      <c r="T9" s="28" t="s">
        <v>620</v>
      </c>
      <c r="U9" s="28" t="s">
        <v>465</v>
      </c>
      <c r="V9" s="6" t="s">
        <v>7390</v>
      </c>
      <c r="W9" s="19" t="s">
        <v>7391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7392</v>
      </c>
      <c r="B10" s="6" t="s">
        <v>7393</v>
      </c>
      <c r="C10" s="226" t="n">
        <v>0.57</v>
      </c>
      <c r="D10" s="224"/>
      <c r="E10" s="224"/>
      <c r="F10" s="28" t="s">
        <v>99</v>
      </c>
      <c r="G10" s="28" t="s">
        <v>7394</v>
      </c>
      <c r="H10" s="28" t="s">
        <v>7118</v>
      </c>
      <c r="I10" s="28" t="s">
        <v>7382</v>
      </c>
      <c r="J10" s="6" t="s">
        <v>7383</v>
      </c>
      <c r="K10" s="224" t="n">
        <v>1</v>
      </c>
      <c r="L10" s="224" t="s">
        <v>6610</v>
      </c>
      <c r="M10" s="6" t="s">
        <v>7384</v>
      </c>
      <c r="N10" s="224" t="s">
        <v>7187</v>
      </c>
      <c r="O10" s="28" t="s">
        <v>6700</v>
      </c>
      <c r="P10" s="28" t="s">
        <v>620</v>
      </c>
      <c r="Q10" s="28" t="s">
        <v>7385</v>
      </c>
      <c r="R10" s="28" t="s">
        <v>620</v>
      </c>
      <c r="S10" s="28" t="s">
        <v>620</v>
      </c>
      <c r="T10" s="28" t="s">
        <v>620</v>
      </c>
      <c r="U10" s="28" t="s">
        <v>465</v>
      </c>
      <c r="V10" s="6" t="s">
        <v>620</v>
      </c>
      <c r="W10" s="19" t="s">
        <v>7395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4292</v>
      </c>
      <c r="B11" s="6" t="s">
        <v>7396</v>
      </c>
      <c r="C11" s="226" t="n">
        <v>4</v>
      </c>
      <c r="D11" s="224"/>
      <c r="E11" s="224"/>
      <c r="F11" s="28" t="s">
        <v>731</v>
      </c>
      <c r="G11" s="28" t="s">
        <v>7397</v>
      </c>
      <c r="H11" s="28" t="s">
        <v>174</v>
      </c>
      <c r="I11" s="28" t="s">
        <v>7382</v>
      </c>
      <c r="J11" s="6" t="s">
        <v>7383</v>
      </c>
      <c r="K11" s="224" t="n">
        <v>1</v>
      </c>
      <c r="L11" s="224" t="s">
        <v>6610</v>
      </c>
      <c r="M11" s="6" t="s">
        <v>7384</v>
      </c>
      <c r="N11" s="224" t="s">
        <v>7187</v>
      </c>
      <c r="O11" s="28" t="s">
        <v>6613</v>
      </c>
      <c r="P11" s="28" t="s">
        <v>620</v>
      </c>
      <c r="Q11" s="28" t="s">
        <v>7385</v>
      </c>
      <c r="R11" s="28" t="s">
        <v>620</v>
      </c>
      <c r="S11" s="28" t="s">
        <v>620</v>
      </c>
      <c r="T11" s="28" t="s">
        <v>620</v>
      </c>
      <c r="U11" s="28" t="s">
        <v>465</v>
      </c>
      <c r="V11" s="6" t="s">
        <v>7398</v>
      </c>
      <c r="W11" s="6" t="s">
        <v>7399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4255</v>
      </c>
      <c r="B12" s="6" t="s">
        <v>7400</v>
      </c>
      <c r="C12" s="226" t="n">
        <v>32</v>
      </c>
      <c r="D12" s="224"/>
      <c r="E12" s="224"/>
      <c r="F12" s="28" t="s">
        <v>731</v>
      </c>
      <c r="G12" s="28" t="s">
        <v>7401</v>
      </c>
      <c r="H12" s="28" t="s">
        <v>174</v>
      </c>
      <c r="I12" s="28" t="s">
        <v>7382</v>
      </c>
      <c r="J12" s="6" t="s">
        <v>7383</v>
      </c>
      <c r="K12" s="224" t="n">
        <v>1</v>
      </c>
      <c r="L12" s="224" t="s">
        <v>6610</v>
      </c>
      <c r="M12" s="6" t="s">
        <v>7384</v>
      </c>
      <c r="N12" s="224" t="s">
        <v>7187</v>
      </c>
      <c r="O12" s="28" t="s">
        <v>6613</v>
      </c>
      <c r="P12" s="28" t="s">
        <v>620</v>
      </c>
      <c r="Q12" s="28" t="s">
        <v>7385</v>
      </c>
      <c r="R12" s="28" t="s">
        <v>620</v>
      </c>
      <c r="S12" s="28" t="s">
        <v>620</v>
      </c>
      <c r="T12" s="28" t="s">
        <v>620</v>
      </c>
      <c r="U12" s="28" t="s">
        <v>465</v>
      </c>
      <c r="V12" s="6" t="s">
        <v>7402</v>
      </c>
      <c r="W12" s="6" t="s">
        <v>7399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4639</v>
      </c>
      <c r="B13" s="6" t="s">
        <v>7403</v>
      </c>
      <c r="C13" s="226" t="n">
        <v>9342.1</v>
      </c>
      <c r="D13" s="224"/>
      <c r="E13" s="224"/>
      <c r="F13" s="28" t="s">
        <v>7365</v>
      </c>
      <c r="G13" s="28" t="s">
        <v>7404</v>
      </c>
      <c r="H13" s="28" t="s">
        <v>174</v>
      </c>
      <c r="I13" s="224" t="s">
        <v>7405</v>
      </c>
      <c r="J13" s="6" t="s">
        <v>7406</v>
      </c>
      <c r="K13" s="224" t="n">
        <v>2</v>
      </c>
      <c r="L13" s="224" t="s">
        <v>6610</v>
      </c>
      <c r="M13" s="6" t="s">
        <v>7407</v>
      </c>
      <c r="N13" s="224" t="s">
        <v>6612</v>
      </c>
      <c r="O13" s="28" t="s">
        <v>6613</v>
      </c>
      <c r="P13" s="28" t="s">
        <v>620</v>
      </c>
      <c r="Q13" s="28" t="s">
        <v>7408</v>
      </c>
      <c r="R13" s="28" t="s">
        <v>620</v>
      </c>
      <c r="S13" s="28" t="s">
        <v>6120</v>
      </c>
      <c r="T13" s="28" t="s">
        <v>620</v>
      </c>
      <c r="U13" s="28" t="s">
        <v>464</v>
      </c>
      <c r="V13" s="6" t="s">
        <v>7409</v>
      </c>
      <c r="W13" s="19" t="s">
        <v>7410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7373</v>
      </c>
      <c r="AB13" s="28" t="s">
        <v>7411</v>
      </c>
      <c r="AC13" s="226" t="n">
        <v>8192</v>
      </c>
      <c r="AD13" s="226" t="n">
        <v>1024</v>
      </c>
      <c r="AE13" s="226" t="n">
        <v>72</v>
      </c>
      <c r="AF13" s="226" t="n">
        <v>1</v>
      </c>
      <c r="AG13" s="224" t="s">
        <v>7375</v>
      </c>
      <c r="AH13" s="42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4648</v>
      </c>
      <c r="B14" s="6" t="s">
        <v>7412</v>
      </c>
      <c r="C14" s="226" t="n">
        <v>3405.2</v>
      </c>
      <c r="D14" s="224"/>
      <c r="E14" s="224"/>
      <c r="F14" s="28" t="s">
        <v>7365</v>
      </c>
      <c r="G14" s="28" t="s">
        <v>7404</v>
      </c>
      <c r="H14" s="28" t="s">
        <v>174</v>
      </c>
      <c r="I14" s="224" t="s">
        <v>7405</v>
      </c>
      <c r="J14" s="6" t="s">
        <v>7406</v>
      </c>
      <c r="K14" s="224" t="n">
        <v>2</v>
      </c>
      <c r="L14" s="224" t="s">
        <v>6610</v>
      </c>
      <c r="M14" s="6" t="s">
        <v>7407</v>
      </c>
      <c r="N14" s="224" t="s">
        <v>6612</v>
      </c>
      <c r="O14" s="28" t="s">
        <v>6613</v>
      </c>
      <c r="P14" s="28" t="s">
        <v>620</v>
      </c>
      <c r="Q14" s="28" t="s">
        <v>7413</v>
      </c>
      <c r="R14" s="28" t="s">
        <v>620</v>
      </c>
      <c r="S14" s="28" t="s">
        <v>6120</v>
      </c>
      <c r="T14" s="28" t="s">
        <v>620</v>
      </c>
      <c r="U14" s="28" t="s">
        <v>464</v>
      </c>
      <c r="V14" s="6" t="s">
        <v>7414</v>
      </c>
      <c r="W14" s="19" t="s">
        <v>7415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7373</v>
      </c>
      <c r="AB14" s="28" t="s">
        <v>7411</v>
      </c>
      <c r="AC14" s="226" t="n">
        <v>8192</v>
      </c>
      <c r="AD14" s="226" t="n">
        <v>1024</v>
      </c>
      <c r="AE14" s="226" t="n">
        <v>130</v>
      </c>
      <c r="AF14" s="226" t="n">
        <v>1</v>
      </c>
      <c r="AG14" s="224" t="s">
        <v>7375</v>
      </c>
      <c r="AH14" s="42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2866</v>
      </c>
      <c r="B15" s="6" t="s">
        <v>7416</v>
      </c>
      <c r="C15" s="226" t="n">
        <v>0.078</v>
      </c>
      <c r="D15" s="224"/>
      <c r="E15" s="224"/>
      <c r="F15" s="28" t="s">
        <v>7417</v>
      </c>
      <c r="G15" s="28" t="s">
        <v>7418</v>
      </c>
      <c r="H15" s="28" t="s">
        <v>174</v>
      </c>
      <c r="I15" s="224" t="s">
        <v>7405</v>
      </c>
      <c r="J15" s="6" t="s">
        <v>7406</v>
      </c>
      <c r="K15" s="224" t="n">
        <v>3</v>
      </c>
      <c r="L15" s="224" t="s">
        <v>6610</v>
      </c>
      <c r="M15" s="6" t="s">
        <v>7407</v>
      </c>
      <c r="N15" s="224" t="s">
        <v>7419</v>
      </c>
      <c r="O15" s="28" t="s">
        <v>6613</v>
      </c>
      <c r="P15" s="28" t="s">
        <v>620</v>
      </c>
      <c r="Q15" s="28" t="s">
        <v>7420</v>
      </c>
      <c r="R15" s="28" t="s">
        <v>620</v>
      </c>
      <c r="S15" s="28" t="s">
        <v>620</v>
      </c>
      <c r="T15" s="28" t="s">
        <v>620</v>
      </c>
      <c r="U15" s="28" t="s">
        <v>464</v>
      </c>
      <c r="V15" s="6" t="s">
        <v>7421</v>
      </c>
      <c r="W15" s="6" t="s">
        <v>620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7422</v>
      </c>
      <c r="B16" s="6" t="s">
        <v>7423</v>
      </c>
      <c r="C16" s="226" t="n">
        <v>0.216</v>
      </c>
      <c r="D16" s="224"/>
      <c r="E16" s="224"/>
      <c r="F16" s="28" t="s">
        <v>7417</v>
      </c>
      <c r="G16" s="28" t="s">
        <v>7418</v>
      </c>
      <c r="H16" s="28" t="s">
        <v>174</v>
      </c>
      <c r="I16" s="224" t="s">
        <v>7405</v>
      </c>
      <c r="J16" s="6" t="s">
        <v>7406</v>
      </c>
      <c r="K16" s="224" t="n">
        <v>3</v>
      </c>
      <c r="L16" s="224" t="s">
        <v>6610</v>
      </c>
      <c r="M16" s="6" t="s">
        <v>7407</v>
      </c>
      <c r="N16" s="224" t="s">
        <v>7419</v>
      </c>
      <c r="O16" s="28" t="s">
        <v>6613</v>
      </c>
      <c r="P16" s="28" t="s">
        <v>620</v>
      </c>
      <c r="Q16" s="28" t="s">
        <v>7420</v>
      </c>
      <c r="R16" s="28" t="s">
        <v>620</v>
      </c>
      <c r="S16" s="28" t="s">
        <v>620</v>
      </c>
      <c r="T16" s="28" t="s">
        <v>620</v>
      </c>
      <c r="U16" s="28" t="s">
        <v>464</v>
      </c>
      <c r="V16" s="6" t="s">
        <v>620</v>
      </c>
      <c r="W16" s="6" t="s">
        <v>620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7424</v>
      </c>
      <c r="B17" s="6" t="s">
        <v>7425</v>
      </c>
      <c r="C17" s="226" t="n">
        <v>1.436</v>
      </c>
      <c r="D17" s="224"/>
      <c r="E17" s="224"/>
      <c r="F17" s="28" t="s">
        <v>7417</v>
      </c>
      <c r="G17" s="28" t="s">
        <v>7418</v>
      </c>
      <c r="H17" s="28" t="s">
        <v>174</v>
      </c>
      <c r="I17" s="224" t="s">
        <v>7405</v>
      </c>
      <c r="J17" s="6" t="s">
        <v>7406</v>
      </c>
      <c r="K17" s="224" t="n">
        <v>3</v>
      </c>
      <c r="L17" s="224" t="s">
        <v>6610</v>
      </c>
      <c r="M17" s="6" t="s">
        <v>7407</v>
      </c>
      <c r="N17" s="224" t="s">
        <v>7419</v>
      </c>
      <c r="O17" s="28" t="s">
        <v>6613</v>
      </c>
      <c r="P17" s="28" t="s">
        <v>620</v>
      </c>
      <c r="Q17" s="28" t="s">
        <v>7420</v>
      </c>
      <c r="R17" s="28" t="s">
        <v>620</v>
      </c>
      <c r="S17" s="28" t="s">
        <v>620</v>
      </c>
      <c r="T17" s="28" t="s">
        <v>620</v>
      </c>
      <c r="U17" s="28" t="s">
        <v>464</v>
      </c>
      <c r="V17" s="6" t="s">
        <v>620</v>
      </c>
      <c r="W17" s="6" t="s">
        <v>620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4679</v>
      </c>
      <c r="B18" s="6" t="s">
        <v>7426</v>
      </c>
      <c r="C18" s="226" t="n">
        <v>3795.5</v>
      </c>
      <c r="D18" s="224"/>
      <c r="E18" s="224"/>
      <c r="F18" s="28" t="s">
        <v>572</v>
      </c>
      <c r="G18" s="224" t="s">
        <v>7427</v>
      </c>
      <c r="H18" s="28" t="s">
        <v>173</v>
      </c>
      <c r="I18" s="28" t="s">
        <v>7428</v>
      </c>
      <c r="J18" s="6" t="s">
        <v>7429</v>
      </c>
      <c r="K18" s="224" t="n">
        <v>1</v>
      </c>
      <c r="L18" s="224" t="s">
        <v>6610</v>
      </c>
      <c r="M18" s="6" t="s">
        <v>7430</v>
      </c>
      <c r="N18" s="224" t="s">
        <v>7187</v>
      </c>
      <c r="O18" s="28" t="s">
        <v>6613</v>
      </c>
      <c r="P18" s="28" t="s">
        <v>620</v>
      </c>
      <c r="Q18" s="28" t="s">
        <v>7431</v>
      </c>
      <c r="R18" s="28" t="s">
        <v>620</v>
      </c>
      <c r="S18" s="28" t="s">
        <v>620</v>
      </c>
      <c r="T18" s="28" t="s">
        <v>620</v>
      </c>
      <c r="U18" s="28" t="s">
        <v>467</v>
      </c>
      <c r="V18" s="6" t="s">
        <v>7432</v>
      </c>
      <c r="W18" s="19" t="s">
        <v>3575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7373</v>
      </c>
      <c r="AB18" s="28" t="s">
        <v>7433</v>
      </c>
      <c r="AC18" s="226" t="n">
        <v>8192</v>
      </c>
      <c r="AD18" s="226" t="n">
        <v>1024</v>
      </c>
      <c r="AE18" s="226" t="n">
        <v>110</v>
      </c>
      <c r="AF18" s="226" t="n">
        <v>1</v>
      </c>
      <c r="AG18" s="224" t="s">
        <v>7375</v>
      </c>
      <c r="AH18" s="42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4690</v>
      </c>
      <c r="B19" s="6" t="s">
        <v>7434</v>
      </c>
      <c r="C19" s="226" t="n">
        <v>6522.4</v>
      </c>
      <c r="D19" s="224"/>
      <c r="E19" s="224"/>
      <c r="F19" s="28" t="s">
        <v>572</v>
      </c>
      <c r="G19" s="224" t="s">
        <v>125</v>
      </c>
      <c r="H19" s="28" t="s">
        <v>174</v>
      </c>
      <c r="I19" s="28" t="s">
        <v>7428</v>
      </c>
      <c r="J19" s="6" t="s">
        <v>7429</v>
      </c>
      <c r="K19" s="224" t="n">
        <v>1</v>
      </c>
      <c r="L19" s="224" t="s">
        <v>6610</v>
      </c>
      <c r="M19" s="6" t="s">
        <v>7430</v>
      </c>
      <c r="N19" s="224" t="s">
        <v>7187</v>
      </c>
      <c r="O19" s="28" t="s">
        <v>6613</v>
      </c>
      <c r="P19" s="28" t="s">
        <v>620</v>
      </c>
      <c r="Q19" s="28" t="s">
        <v>7431</v>
      </c>
      <c r="R19" s="28" t="s">
        <v>620</v>
      </c>
      <c r="S19" s="28" t="s">
        <v>620</v>
      </c>
      <c r="T19" s="28" t="s">
        <v>620</v>
      </c>
      <c r="U19" s="28" t="s">
        <v>467</v>
      </c>
      <c r="V19" s="6" t="s">
        <v>7435</v>
      </c>
      <c r="W19" s="19" t="s">
        <v>3575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7373</v>
      </c>
      <c r="AB19" s="28" t="s">
        <v>7433</v>
      </c>
      <c r="AC19" s="226" t="n">
        <v>8192</v>
      </c>
      <c r="AD19" s="226" t="n">
        <v>1024</v>
      </c>
      <c r="AE19" s="226" t="n">
        <v>110</v>
      </c>
      <c r="AF19" s="226" t="n">
        <v>1</v>
      </c>
      <c r="AG19" s="224" t="s">
        <v>7375</v>
      </c>
      <c r="AH19" s="42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7436</v>
      </c>
      <c r="B20" s="6" t="s">
        <v>7437</v>
      </c>
      <c r="C20" s="226" t="n">
        <v>4036</v>
      </c>
      <c r="D20" s="224"/>
      <c r="E20" s="224"/>
      <c r="F20" s="28" t="s">
        <v>572</v>
      </c>
      <c r="G20" s="224" t="s">
        <v>3575</v>
      </c>
      <c r="H20" s="28" t="s">
        <v>7438</v>
      </c>
      <c r="I20" s="28" t="s">
        <v>1227</v>
      </c>
      <c r="J20" s="6" t="s">
        <v>7439</v>
      </c>
      <c r="K20" s="224" t="n">
        <v>1</v>
      </c>
      <c r="L20" s="224" t="s">
        <v>6610</v>
      </c>
      <c r="M20" s="6" t="s">
        <v>7440</v>
      </c>
      <c r="N20" s="224" t="s">
        <v>7187</v>
      </c>
      <c r="O20" s="28" t="s">
        <v>6613</v>
      </c>
      <c r="P20" s="28" t="s">
        <v>620</v>
      </c>
      <c r="Q20" s="28" t="s">
        <v>7441</v>
      </c>
      <c r="R20" s="28" t="s">
        <v>620</v>
      </c>
      <c r="S20" s="28" t="s">
        <v>620</v>
      </c>
      <c r="T20" s="28" t="s">
        <v>620</v>
      </c>
      <c r="U20" s="28" t="s">
        <v>7442</v>
      </c>
      <c r="V20" s="6" t="s">
        <v>620</v>
      </c>
      <c r="W20" s="19" t="s">
        <v>7443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7444</v>
      </c>
      <c r="B21" s="6" t="s">
        <v>7445</v>
      </c>
      <c r="C21" s="226" t="n">
        <v>3102</v>
      </c>
      <c r="D21" s="224"/>
      <c r="E21" s="224"/>
      <c r="F21" s="28" t="s">
        <v>572</v>
      </c>
      <c r="G21" s="224" t="s">
        <v>3575</v>
      </c>
      <c r="H21" s="28" t="s">
        <v>7438</v>
      </c>
      <c r="I21" s="28" t="s">
        <v>1227</v>
      </c>
      <c r="J21" s="6" t="s">
        <v>7439</v>
      </c>
      <c r="K21" s="224" t="n">
        <v>1</v>
      </c>
      <c r="L21" s="224" t="s">
        <v>6610</v>
      </c>
      <c r="M21" s="6" t="s">
        <v>7440</v>
      </c>
      <c r="N21" s="224" t="s">
        <v>7187</v>
      </c>
      <c r="O21" s="28" t="s">
        <v>6613</v>
      </c>
      <c r="P21" s="28" t="s">
        <v>620</v>
      </c>
      <c r="Q21" s="28" t="s">
        <v>7441</v>
      </c>
      <c r="R21" s="28" t="s">
        <v>620</v>
      </c>
      <c r="S21" s="28" t="s">
        <v>620</v>
      </c>
      <c r="T21" s="28" t="s">
        <v>620</v>
      </c>
      <c r="U21" s="28" t="s">
        <v>7442</v>
      </c>
      <c r="V21" s="6" t="s">
        <v>620</v>
      </c>
      <c r="W21" s="19" t="s">
        <v>7443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4512</v>
      </c>
      <c r="B22" s="19" t="s">
        <v>7446</v>
      </c>
      <c r="C22" s="226" t="n">
        <v>120</v>
      </c>
      <c r="D22" s="224"/>
      <c r="E22" s="224"/>
      <c r="F22" s="28" t="s">
        <v>7447</v>
      </c>
      <c r="G22" s="224" t="s">
        <v>7448</v>
      </c>
      <c r="H22" s="28" t="s">
        <v>7449</v>
      </c>
      <c r="I22" s="28" t="s">
        <v>1224</v>
      </c>
      <c r="J22" s="6" t="s">
        <v>7450</v>
      </c>
      <c r="K22" s="224" t="n">
        <v>1</v>
      </c>
      <c r="L22" s="224" t="s">
        <v>6717</v>
      </c>
      <c r="M22" s="6" t="s">
        <v>7451</v>
      </c>
      <c r="N22" s="224" t="s">
        <v>7187</v>
      </c>
      <c r="O22" s="28" t="s">
        <v>6613</v>
      </c>
      <c r="P22" s="28" t="s">
        <v>620</v>
      </c>
      <c r="Q22" s="28" t="s">
        <v>7452</v>
      </c>
      <c r="R22" s="28" t="s">
        <v>620</v>
      </c>
      <c r="S22" s="28" t="s">
        <v>620</v>
      </c>
      <c r="T22" s="28" t="s">
        <v>620</v>
      </c>
      <c r="U22" s="28" t="s">
        <v>7453</v>
      </c>
      <c r="V22" s="6" t="s">
        <v>7454</v>
      </c>
      <c r="W22" s="6" t="s">
        <v>4513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4515</v>
      </c>
      <c r="B23" s="19" t="s">
        <v>7455</v>
      </c>
      <c r="C23" s="226" t="n">
        <v>68</v>
      </c>
      <c r="D23" s="224"/>
      <c r="E23" s="224"/>
      <c r="F23" s="28" t="s">
        <v>7447</v>
      </c>
      <c r="G23" s="224" t="s">
        <v>7448</v>
      </c>
      <c r="H23" s="28" t="s">
        <v>7456</v>
      </c>
      <c r="I23" s="28" t="s">
        <v>1224</v>
      </c>
      <c r="J23" s="6" t="s">
        <v>7450</v>
      </c>
      <c r="K23" s="224" t="n">
        <v>1</v>
      </c>
      <c r="L23" s="224" t="s">
        <v>6717</v>
      </c>
      <c r="M23" s="6" t="s">
        <v>7451</v>
      </c>
      <c r="N23" s="224" t="s">
        <v>7187</v>
      </c>
      <c r="O23" s="28" t="s">
        <v>6613</v>
      </c>
      <c r="P23" s="28" t="s">
        <v>620</v>
      </c>
      <c r="Q23" s="28" t="s">
        <v>7452</v>
      </c>
      <c r="R23" s="28" t="s">
        <v>620</v>
      </c>
      <c r="S23" s="28" t="s">
        <v>620</v>
      </c>
      <c r="T23" s="28" t="s">
        <v>620</v>
      </c>
      <c r="U23" s="28" t="s">
        <v>7453</v>
      </c>
      <c r="V23" s="6" t="s">
        <v>7457</v>
      </c>
      <c r="W23" s="6" t="s">
        <v>7458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4519</v>
      </c>
      <c r="B24" s="19" t="s">
        <v>7459</v>
      </c>
      <c r="C24" s="224"/>
      <c r="D24" s="226" t="n">
        <v>52</v>
      </c>
      <c r="E24" s="226" t="n">
        <v>56</v>
      </c>
      <c r="F24" s="28" t="s">
        <v>7447</v>
      </c>
      <c r="G24" s="224" t="s">
        <v>7448</v>
      </c>
      <c r="H24" s="28" t="s">
        <v>1219</v>
      </c>
      <c r="I24" s="28" t="s">
        <v>1224</v>
      </c>
      <c r="J24" s="6" t="s">
        <v>7450</v>
      </c>
      <c r="K24" s="224" t="n">
        <v>1</v>
      </c>
      <c r="L24" s="224" t="s">
        <v>6717</v>
      </c>
      <c r="M24" s="6" t="s">
        <v>7451</v>
      </c>
      <c r="N24" s="224" t="s">
        <v>7187</v>
      </c>
      <c r="O24" s="28" t="s">
        <v>6613</v>
      </c>
      <c r="P24" s="28" t="s">
        <v>620</v>
      </c>
      <c r="Q24" s="28" t="s">
        <v>7452</v>
      </c>
      <c r="R24" s="28" t="s">
        <v>620</v>
      </c>
      <c r="S24" s="28" t="s">
        <v>620</v>
      </c>
      <c r="T24" s="28" t="s">
        <v>620</v>
      </c>
      <c r="U24" s="28" t="s">
        <v>7453</v>
      </c>
      <c r="V24" s="6" t="s">
        <v>7460</v>
      </c>
      <c r="W24" s="6" t="s">
        <v>7461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7462</v>
      </c>
      <c r="B25" s="19" t="s">
        <v>7463</v>
      </c>
      <c r="C25" s="226" t="n">
        <v>54</v>
      </c>
      <c r="D25" s="224"/>
      <c r="E25" s="224"/>
      <c r="F25" s="28" t="s">
        <v>7447</v>
      </c>
      <c r="G25" s="224" t="s">
        <v>7448</v>
      </c>
      <c r="H25" s="28" t="s">
        <v>1226</v>
      </c>
      <c r="I25" s="28" t="s">
        <v>1224</v>
      </c>
      <c r="J25" s="6" t="s">
        <v>7450</v>
      </c>
      <c r="K25" s="224" t="n">
        <v>1</v>
      </c>
      <c r="L25" s="224" t="s">
        <v>6717</v>
      </c>
      <c r="M25" s="6" t="s">
        <v>7451</v>
      </c>
      <c r="N25" s="224" t="s">
        <v>7187</v>
      </c>
      <c r="O25" s="28" t="s">
        <v>6613</v>
      </c>
      <c r="P25" s="28" t="s">
        <v>620</v>
      </c>
      <c r="Q25" s="28" t="s">
        <v>7452</v>
      </c>
      <c r="R25" s="28" t="s">
        <v>620</v>
      </c>
      <c r="S25" s="28" t="s">
        <v>620</v>
      </c>
      <c r="T25" s="28" t="s">
        <v>620</v>
      </c>
      <c r="U25" s="28" t="s">
        <v>7453</v>
      </c>
      <c r="V25" s="6" t="s">
        <v>620</v>
      </c>
      <c r="W25" s="6" t="s">
        <v>620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7464</v>
      </c>
      <c r="B26" s="19" t="s">
        <v>7465</v>
      </c>
      <c r="C26" s="224"/>
      <c r="D26" s="226" t="n">
        <v>290</v>
      </c>
      <c r="E26" s="226" t="n">
        <v>350</v>
      </c>
      <c r="F26" s="28" t="s">
        <v>7447</v>
      </c>
      <c r="G26" s="224" t="s">
        <v>7448</v>
      </c>
      <c r="H26" s="28" t="s">
        <v>7466</v>
      </c>
      <c r="I26" s="28" t="s">
        <v>1224</v>
      </c>
      <c r="J26" s="6" t="s">
        <v>7450</v>
      </c>
      <c r="K26" s="224" t="n">
        <v>1</v>
      </c>
      <c r="L26" s="224" t="s">
        <v>6717</v>
      </c>
      <c r="M26" s="6" t="s">
        <v>7451</v>
      </c>
      <c r="N26" s="224" t="s">
        <v>7187</v>
      </c>
      <c r="O26" s="28" t="s">
        <v>6613</v>
      </c>
      <c r="P26" s="28" t="s">
        <v>620</v>
      </c>
      <c r="Q26" s="28" t="s">
        <v>7452</v>
      </c>
      <c r="R26" s="28" t="s">
        <v>620</v>
      </c>
      <c r="S26" s="28" t="s">
        <v>620</v>
      </c>
      <c r="T26" s="28" t="s">
        <v>620</v>
      </c>
      <c r="U26" s="28" t="s">
        <v>7453</v>
      </c>
      <c r="V26" s="6" t="s">
        <v>620</v>
      </c>
      <c r="W26" s="6" t="s">
        <v>620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2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7467</v>
      </c>
      <c r="B27" s="6" t="s">
        <v>7468</v>
      </c>
      <c r="C27" s="226" t="n">
        <v>20</v>
      </c>
      <c r="D27" s="224"/>
      <c r="E27" s="224"/>
      <c r="F27" s="28" t="s">
        <v>7447</v>
      </c>
      <c r="G27" s="224" t="s">
        <v>7469</v>
      </c>
      <c r="H27" s="28" t="s">
        <v>7470</v>
      </c>
      <c r="I27" s="28" t="s">
        <v>7471</v>
      </c>
      <c r="J27" s="6" t="s">
        <v>7472</v>
      </c>
      <c r="K27" s="224" t="n">
        <v>3</v>
      </c>
      <c r="L27" s="224" t="s">
        <v>6610</v>
      </c>
      <c r="M27" s="6" t="s">
        <v>7473</v>
      </c>
      <c r="N27" s="224" t="s">
        <v>6748</v>
      </c>
      <c r="O27" s="28" t="s">
        <v>6613</v>
      </c>
      <c r="P27" s="28" t="s">
        <v>620</v>
      </c>
      <c r="Q27" s="28" t="s">
        <v>7474</v>
      </c>
      <c r="R27" s="28" t="s">
        <v>620</v>
      </c>
      <c r="S27" s="28" t="s">
        <v>620</v>
      </c>
      <c r="T27" s="28" t="s">
        <v>620</v>
      </c>
      <c r="U27" s="28" t="s">
        <v>7475</v>
      </c>
      <c r="V27" s="6" t="s">
        <v>620</v>
      </c>
      <c r="W27" s="19" t="s">
        <v>7476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7477</v>
      </c>
      <c r="B28" s="6" t="s">
        <v>7478</v>
      </c>
      <c r="C28" s="226" t="n">
        <v>250634</v>
      </c>
      <c r="D28" s="224"/>
      <c r="E28" s="224"/>
      <c r="F28" s="28" t="s">
        <v>7479</v>
      </c>
      <c r="G28" s="28" t="s">
        <v>7480</v>
      </c>
      <c r="H28" s="28" t="s">
        <v>174</v>
      </c>
      <c r="I28" s="28" t="s">
        <v>7481</v>
      </c>
      <c r="J28" s="6" t="s">
        <v>7482</v>
      </c>
      <c r="K28" s="224" t="n">
        <v>2</v>
      </c>
      <c r="L28" s="224" t="s">
        <v>6610</v>
      </c>
      <c r="M28" s="6" t="s">
        <v>7483</v>
      </c>
      <c r="N28" s="224" t="s">
        <v>7484</v>
      </c>
      <c r="O28" s="28" t="s">
        <v>6613</v>
      </c>
      <c r="P28" s="28" t="s">
        <v>620</v>
      </c>
      <c r="Q28" s="28" t="s">
        <v>7485</v>
      </c>
      <c r="R28" s="28" t="s">
        <v>620</v>
      </c>
      <c r="S28" s="28" t="s">
        <v>620</v>
      </c>
      <c r="T28" s="28" t="s">
        <v>620</v>
      </c>
      <c r="U28" s="28" t="s">
        <v>7486</v>
      </c>
      <c r="V28" s="6" t="s">
        <v>620</v>
      </c>
      <c r="W28" s="19" t="s">
        <v>7487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4821</v>
      </c>
      <c r="B29" s="6" t="s">
        <v>7488</v>
      </c>
      <c r="C29" s="226" t="n">
        <v>240318</v>
      </c>
      <c r="D29" s="224"/>
      <c r="E29" s="224"/>
      <c r="F29" s="28" t="s">
        <v>7479</v>
      </c>
      <c r="G29" s="28" t="s">
        <v>7480</v>
      </c>
      <c r="H29" s="28" t="s">
        <v>173</v>
      </c>
      <c r="I29" s="28" t="s">
        <v>7481</v>
      </c>
      <c r="J29" s="6" t="s">
        <v>7482</v>
      </c>
      <c r="K29" s="224" t="n">
        <v>2</v>
      </c>
      <c r="L29" s="224" t="s">
        <v>6610</v>
      </c>
      <c r="M29" s="6" t="s">
        <v>7483</v>
      </c>
      <c r="N29" s="224" t="s">
        <v>7484</v>
      </c>
      <c r="O29" s="28" t="s">
        <v>6613</v>
      </c>
      <c r="P29" s="28" t="s">
        <v>620</v>
      </c>
      <c r="Q29" s="28" t="s">
        <v>7485</v>
      </c>
      <c r="R29" s="28" t="s">
        <v>620</v>
      </c>
      <c r="S29" s="28" t="s">
        <v>620</v>
      </c>
      <c r="T29" s="28" t="s">
        <v>620</v>
      </c>
      <c r="U29" s="28" t="s">
        <v>7486</v>
      </c>
      <c r="V29" s="6" t="s">
        <v>7489</v>
      </c>
      <c r="W29" s="19" t="s">
        <v>7490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4827</v>
      </c>
      <c r="B30" s="6" t="s">
        <v>7491</v>
      </c>
      <c r="C30" s="226" t="n">
        <v>8064</v>
      </c>
      <c r="D30" s="224"/>
      <c r="E30" s="224"/>
      <c r="F30" s="28" t="s">
        <v>7492</v>
      </c>
      <c r="G30" s="28" t="s">
        <v>7493</v>
      </c>
      <c r="H30" s="28" t="s">
        <v>174</v>
      </c>
      <c r="I30" s="28" t="s">
        <v>7481</v>
      </c>
      <c r="J30" s="6" t="s">
        <v>7482</v>
      </c>
      <c r="K30" s="224" t="n">
        <v>2</v>
      </c>
      <c r="L30" s="224" t="s">
        <v>6610</v>
      </c>
      <c r="M30" s="6" t="s">
        <v>7483</v>
      </c>
      <c r="N30" s="224" t="s">
        <v>7484</v>
      </c>
      <c r="O30" s="28" t="s">
        <v>6613</v>
      </c>
      <c r="P30" s="28" t="s">
        <v>620</v>
      </c>
      <c r="Q30" s="28" t="s">
        <v>7485</v>
      </c>
      <c r="R30" s="28" t="s">
        <v>620</v>
      </c>
      <c r="S30" s="28" t="s">
        <v>620</v>
      </c>
      <c r="T30" s="28" t="s">
        <v>620</v>
      </c>
      <c r="U30" s="28" t="s">
        <v>7486</v>
      </c>
      <c r="V30" s="6" t="s">
        <v>7494</v>
      </c>
      <c r="W30" s="6" t="s">
        <v>620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4824</v>
      </c>
      <c r="B31" s="6" t="s">
        <v>7495</v>
      </c>
      <c r="C31" s="226" t="n">
        <v>652750</v>
      </c>
      <c r="D31" s="224"/>
      <c r="E31" s="224"/>
      <c r="F31" s="28" t="s">
        <v>7479</v>
      </c>
      <c r="G31" s="28" t="s">
        <v>7496</v>
      </c>
      <c r="H31" s="28" t="s">
        <v>175</v>
      </c>
      <c r="I31" s="28" t="s">
        <v>7497</v>
      </c>
      <c r="J31" s="6" t="s">
        <v>7498</v>
      </c>
      <c r="K31" s="224" t="n">
        <v>1</v>
      </c>
      <c r="L31" s="224" t="s">
        <v>6610</v>
      </c>
      <c r="M31" s="6" t="s">
        <v>7499</v>
      </c>
      <c r="N31" s="224" t="s">
        <v>6612</v>
      </c>
      <c r="O31" s="28" t="s">
        <v>6613</v>
      </c>
      <c r="P31" s="28" t="s">
        <v>620</v>
      </c>
      <c r="Q31" s="28" t="s">
        <v>7500</v>
      </c>
      <c r="R31" s="28" t="s">
        <v>620</v>
      </c>
      <c r="S31" s="28" t="s">
        <v>6141</v>
      </c>
      <c r="T31" s="28" t="s">
        <v>620</v>
      </c>
      <c r="U31" s="28" t="s">
        <v>3594</v>
      </c>
      <c r="V31" s="6" t="s">
        <v>7501</v>
      </c>
      <c r="W31" s="19" t="s">
        <v>7502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4818</v>
      </c>
      <c r="B32" s="6" t="s">
        <v>7503</v>
      </c>
      <c r="C32" s="226" t="n">
        <v>253506</v>
      </c>
      <c r="D32" s="224"/>
      <c r="E32" s="224"/>
      <c r="F32" s="28" t="s">
        <v>7479</v>
      </c>
      <c r="G32" s="28" t="s">
        <v>7480</v>
      </c>
      <c r="H32" s="28" t="s">
        <v>174</v>
      </c>
      <c r="I32" s="28" t="s">
        <v>7497</v>
      </c>
      <c r="J32" s="6" t="s">
        <v>7498</v>
      </c>
      <c r="K32" s="224" t="n">
        <v>1</v>
      </c>
      <c r="L32" s="224" t="s">
        <v>6610</v>
      </c>
      <c r="M32" s="6" t="s">
        <v>7499</v>
      </c>
      <c r="N32" s="224" t="s">
        <v>6612</v>
      </c>
      <c r="O32" s="28" t="s">
        <v>6613</v>
      </c>
      <c r="P32" s="28" t="s">
        <v>620</v>
      </c>
      <c r="Q32" s="28" t="s">
        <v>7500</v>
      </c>
      <c r="R32" s="28" t="s">
        <v>620</v>
      </c>
      <c r="S32" s="28" t="s">
        <v>6141</v>
      </c>
      <c r="T32" s="28" t="s">
        <v>620</v>
      </c>
      <c r="U32" s="28" t="s">
        <v>3594</v>
      </c>
      <c r="V32" s="6" t="s">
        <v>7504</v>
      </c>
      <c r="W32" s="19" t="s">
        <v>7505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4784</v>
      </c>
      <c r="B33" s="6" t="s">
        <v>7506</v>
      </c>
      <c r="C33" s="226" t="n">
        <v>800</v>
      </c>
      <c r="D33" s="224"/>
      <c r="E33" s="224"/>
      <c r="F33" s="28" t="s">
        <v>292</v>
      </c>
      <c r="G33" s="224" t="s">
        <v>7507</v>
      </c>
      <c r="H33" s="28" t="s">
        <v>7508</v>
      </c>
      <c r="I33" s="28" t="s">
        <v>7509</v>
      </c>
      <c r="J33" s="6" t="s">
        <v>7510</v>
      </c>
      <c r="K33" s="224" t="n">
        <v>1</v>
      </c>
      <c r="L33" s="224" t="s">
        <v>6717</v>
      </c>
      <c r="M33" s="6" t="s">
        <v>7511</v>
      </c>
      <c r="N33" s="224" t="s">
        <v>7187</v>
      </c>
      <c r="O33" s="28" t="s">
        <v>6613</v>
      </c>
      <c r="P33" s="28" t="s">
        <v>620</v>
      </c>
      <c r="Q33" s="28" t="s">
        <v>7512</v>
      </c>
      <c r="R33" s="28" t="s">
        <v>620</v>
      </c>
      <c r="S33" s="28" t="s">
        <v>620</v>
      </c>
      <c r="T33" s="28" t="s">
        <v>620</v>
      </c>
      <c r="U33" s="28" t="s">
        <v>7513</v>
      </c>
      <c r="V33" s="6" t="s">
        <v>7514</v>
      </c>
      <c r="W33" s="6" t="s">
        <v>620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2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4788</v>
      </c>
      <c r="B34" s="6" t="s">
        <v>7515</v>
      </c>
      <c r="C34" s="226" t="n">
        <v>3880</v>
      </c>
      <c r="D34" s="224"/>
      <c r="E34" s="224"/>
      <c r="F34" s="28" t="s">
        <v>292</v>
      </c>
      <c r="G34" s="224" t="s">
        <v>7507</v>
      </c>
      <c r="H34" s="28" t="s">
        <v>7508</v>
      </c>
      <c r="I34" s="28" t="s">
        <v>7509</v>
      </c>
      <c r="J34" s="6" t="s">
        <v>7510</v>
      </c>
      <c r="K34" s="224" t="n">
        <v>1</v>
      </c>
      <c r="L34" s="224" t="s">
        <v>6717</v>
      </c>
      <c r="M34" s="6" t="s">
        <v>7511</v>
      </c>
      <c r="N34" s="224" t="s">
        <v>7187</v>
      </c>
      <c r="O34" s="28" t="s">
        <v>6613</v>
      </c>
      <c r="P34" s="28" t="s">
        <v>620</v>
      </c>
      <c r="Q34" s="28" t="s">
        <v>7512</v>
      </c>
      <c r="R34" s="28" t="s">
        <v>620</v>
      </c>
      <c r="S34" s="28" t="s">
        <v>620</v>
      </c>
      <c r="T34" s="28" t="s">
        <v>620</v>
      </c>
      <c r="U34" s="28" t="s">
        <v>7513</v>
      </c>
      <c r="V34" s="6" t="s">
        <v>7516</v>
      </c>
      <c r="W34" s="6" t="s">
        <v>620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2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4795</v>
      </c>
      <c r="B35" s="6" t="s">
        <v>7517</v>
      </c>
      <c r="C35" s="226" t="n">
        <v>15</v>
      </c>
      <c r="D35" s="224"/>
      <c r="E35" s="224"/>
      <c r="F35" s="28" t="s">
        <v>504</v>
      </c>
      <c r="G35" s="28" t="s">
        <v>7480</v>
      </c>
      <c r="H35" s="28" t="s">
        <v>7508</v>
      </c>
      <c r="I35" s="28" t="s">
        <v>6650</v>
      </c>
      <c r="J35" s="6" t="s">
        <v>7510</v>
      </c>
      <c r="K35" s="224" t="n">
        <v>1</v>
      </c>
      <c r="L35" s="224" t="s">
        <v>6717</v>
      </c>
      <c r="M35" s="6" t="s">
        <v>7511</v>
      </c>
      <c r="N35" s="224" t="s">
        <v>7187</v>
      </c>
      <c r="O35" s="28" t="s">
        <v>6613</v>
      </c>
      <c r="P35" s="28" t="s">
        <v>620</v>
      </c>
      <c r="Q35" s="28" t="s">
        <v>7512</v>
      </c>
      <c r="R35" s="28" t="s">
        <v>620</v>
      </c>
      <c r="S35" s="28" t="s">
        <v>620</v>
      </c>
      <c r="T35" s="28" t="s">
        <v>620</v>
      </c>
      <c r="U35" s="28" t="s">
        <v>7513</v>
      </c>
      <c r="V35" s="6" t="s">
        <v>7518</v>
      </c>
      <c r="W35" s="19" t="s">
        <v>7519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2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4802</v>
      </c>
      <c r="B36" s="6" t="s">
        <v>7520</v>
      </c>
      <c r="C36" s="226" t="n">
        <v>80</v>
      </c>
      <c r="D36" s="224"/>
      <c r="E36" s="224"/>
      <c r="F36" s="28" t="s">
        <v>504</v>
      </c>
      <c r="G36" s="28" t="s">
        <v>7493</v>
      </c>
      <c r="H36" s="28" t="s">
        <v>7508</v>
      </c>
      <c r="I36" s="28" t="s">
        <v>6650</v>
      </c>
      <c r="J36" s="6" t="s">
        <v>7510</v>
      </c>
      <c r="K36" s="224" t="n">
        <v>1</v>
      </c>
      <c r="L36" s="224" t="s">
        <v>6717</v>
      </c>
      <c r="M36" s="6" t="s">
        <v>7511</v>
      </c>
      <c r="N36" s="224" t="s">
        <v>7187</v>
      </c>
      <c r="O36" s="28" t="s">
        <v>6613</v>
      </c>
      <c r="P36" s="28" t="s">
        <v>620</v>
      </c>
      <c r="Q36" s="28" t="s">
        <v>7512</v>
      </c>
      <c r="R36" s="28" t="s">
        <v>620</v>
      </c>
      <c r="S36" s="28" t="s">
        <v>620</v>
      </c>
      <c r="T36" s="28" t="s">
        <v>620</v>
      </c>
      <c r="U36" s="28" t="s">
        <v>7513</v>
      </c>
      <c r="V36" s="6" t="s">
        <v>7521</v>
      </c>
      <c r="W36" s="19" t="s">
        <v>7522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7523</v>
      </c>
      <c r="B37" s="6" t="s">
        <v>7524</v>
      </c>
      <c r="C37" s="226" t="n">
        <v>1.5</v>
      </c>
      <c r="D37" s="224"/>
      <c r="E37" s="224"/>
      <c r="F37" s="28" t="s">
        <v>375</v>
      </c>
      <c r="G37" s="28" t="s">
        <v>7480</v>
      </c>
      <c r="H37" s="28" t="s">
        <v>7508</v>
      </c>
      <c r="I37" s="28" t="s">
        <v>6650</v>
      </c>
      <c r="J37" s="6" t="s">
        <v>7510</v>
      </c>
      <c r="K37" s="224" t="n">
        <v>1</v>
      </c>
      <c r="L37" s="224" t="s">
        <v>6717</v>
      </c>
      <c r="M37" s="6" t="s">
        <v>7511</v>
      </c>
      <c r="N37" s="224" t="s">
        <v>7187</v>
      </c>
      <c r="O37" s="28" t="s">
        <v>6613</v>
      </c>
      <c r="P37" s="28" t="s">
        <v>620</v>
      </c>
      <c r="Q37" s="28" t="s">
        <v>7512</v>
      </c>
      <c r="R37" s="28" t="s">
        <v>620</v>
      </c>
      <c r="S37" s="28" t="s">
        <v>620</v>
      </c>
      <c r="T37" s="28" t="s">
        <v>620</v>
      </c>
      <c r="U37" s="28" t="s">
        <v>7513</v>
      </c>
      <c r="V37" s="6" t="s">
        <v>620</v>
      </c>
      <c r="W37" s="6" t="s">
        <v>620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7525</v>
      </c>
      <c r="B38" s="6" t="s">
        <v>7526</v>
      </c>
      <c r="C38" s="226" t="n">
        <v>2</v>
      </c>
      <c r="D38" s="224"/>
      <c r="E38" s="224"/>
      <c r="F38" s="28" t="s">
        <v>375</v>
      </c>
      <c r="G38" s="28" t="s">
        <v>7493</v>
      </c>
      <c r="H38" s="28" t="s">
        <v>7508</v>
      </c>
      <c r="I38" s="28" t="s">
        <v>6650</v>
      </c>
      <c r="J38" s="6" t="s">
        <v>7510</v>
      </c>
      <c r="K38" s="224" t="n">
        <v>1</v>
      </c>
      <c r="L38" s="224" t="s">
        <v>6717</v>
      </c>
      <c r="M38" s="6" t="s">
        <v>7511</v>
      </c>
      <c r="N38" s="224" t="s">
        <v>7187</v>
      </c>
      <c r="O38" s="28" t="s">
        <v>6613</v>
      </c>
      <c r="P38" s="28" t="s">
        <v>620</v>
      </c>
      <c r="Q38" s="28" t="s">
        <v>7512</v>
      </c>
      <c r="R38" s="28" t="s">
        <v>620</v>
      </c>
      <c r="S38" s="28" t="s">
        <v>620</v>
      </c>
      <c r="T38" s="28" t="s">
        <v>620</v>
      </c>
      <c r="U38" s="28" t="s">
        <v>7513</v>
      </c>
      <c r="V38" s="6" t="s">
        <v>620</v>
      </c>
      <c r="W38" s="6" t="s">
        <v>620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4479</v>
      </c>
      <c r="B39" s="6" t="s">
        <v>7527</v>
      </c>
      <c r="C39" s="226" t="n">
        <v>3</v>
      </c>
      <c r="D39" s="224"/>
      <c r="E39" s="224"/>
      <c r="F39" s="224" t="s">
        <v>7528</v>
      </c>
      <c r="G39" s="28" t="s">
        <v>7529</v>
      </c>
      <c r="H39" s="28" t="s">
        <v>7508</v>
      </c>
      <c r="I39" s="28" t="s">
        <v>6650</v>
      </c>
      <c r="J39" s="6" t="s">
        <v>7510</v>
      </c>
      <c r="K39" s="224" t="n">
        <v>1</v>
      </c>
      <c r="L39" s="224" t="s">
        <v>6717</v>
      </c>
      <c r="M39" s="6" t="s">
        <v>7511</v>
      </c>
      <c r="N39" s="224" t="s">
        <v>7187</v>
      </c>
      <c r="O39" s="28" t="s">
        <v>6613</v>
      </c>
      <c r="P39" s="28" t="s">
        <v>620</v>
      </c>
      <c r="Q39" s="28" t="s">
        <v>7512</v>
      </c>
      <c r="R39" s="28" t="s">
        <v>620</v>
      </c>
      <c r="S39" s="28" t="s">
        <v>620</v>
      </c>
      <c r="T39" s="28" t="s">
        <v>620</v>
      </c>
      <c r="U39" s="28" t="s">
        <v>7513</v>
      </c>
      <c r="V39" s="6" t="s">
        <v>7530</v>
      </c>
      <c r="W39" s="19" t="s">
        <v>7531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5260</v>
      </c>
      <c r="B40" s="6" t="s">
        <v>7532</v>
      </c>
      <c r="C40" s="224"/>
      <c r="D40" s="226" t="n">
        <v>0.38</v>
      </c>
      <c r="E40" s="226" t="n">
        <v>0.43</v>
      </c>
      <c r="F40" s="28" t="s">
        <v>99</v>
      </c>
      <c r="G40" s="28" t="s">
        <v>7533</v>
      </c>
      <c r="H40" s="28" t="s">
        <v>7534</v>
      </c>
      <c r="I40" s="28" t="s">
        <v>7535</v>
      </c>
      <c r="J40" s="6" t="s">
        <v>7536</v>
      </c>
      <c r="K40" s="224" t="n">
        <v>1</v>
      </c>
      <c r="L40" s="224" t="s">
        <v>6610</v>
      </c>
      <c r="M40" s="6" t="s">
        <v>7537</v>
      </c>
      <c r="N40" s="224" t="s">
        <v>6612</v>
      </c>
      <c r="O40" s="28" t="s">
        <v>6613</v>
      </c>
      <c r="P40" s="28" t="s">
        <v>620</v>
      </c>
      <c r="Q40" s="28" t="s">
        <v>7538</v>
      </c>
      <c r="R40" s="28" t="s">
        <v>620</v>
      </c>
      <c r="S40" s="28" t="s">
        <v>6120</v>
      </c>
      <c r="T40" s="28" t="s">
        <v>620</v>
      </c>
      <c r="U40" s="28" t="s">
        <v>7539</v>
      </c>
      <c r="V40" s="6" t="s">
        <v>620</v>
      </c>
      <c r="W40" s="6" t="s">
        <v>7540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5265</v>
      </c>
      <c r="B41" s="6" t="s">
        <v>7541</v>
      </c>
      <c r="C41" s="226" t="n">
        <v>0.9</v>
      </c>
      <c r="D41" s="224"/>
      <c r="E41" s="224"/>
      <c r="F41" s="28" t="s">
        <v>99</v>
      </c>
      <c r="G41" s="224" t="s">
        <v>7542</v>
      </c>
      <c r="H41" s="28" t="s">
        <v>7534</v>
      </c>
      <c r="I41" s="28" t="s">
        <v>7535</v>
      </c>
      <c r="J41" s="6" t="s">
        <v>7536</v>
      </c>
      <c r="K41" s="224" t="n">
        <v>1</v>
      </c>
      <c r="L41" s="224" t="s">
        <v>6610</v>
      </c>
      <c r="M41" s="6" t="s">
        <v>7537</v>
      </c>
      <c r="N41" s="224" t="s">
        <v>6612</v>
      </c>
      <c r="O41" s="28" t="s">
        <v>6613</v>
      </c>
      <c r="P41" s="28" t="s">
        <v>620</v>
      </c>
      <c r="Q41" s="28" t="s">
        <v>7543</v>
      </c>
      <c r="R41" s="28" t="s">
        <v>620</v>
      </c>
      <c r="S41" s="28" t="s">
        <v>6120</v>
      </c>
      <c r="T41" s="28" t="s">
        <v>620</v>
      </c>
      <c r="U41" s="28" t="s">
        <v>7539</v>
      </c>
      <c r="V41" s="6" t="s">
        <v>7544</v>
      </c>
      <c r="W41" s="19" t="s">
        <v>7545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7546</v>
      </c>
      <c r="B42" s="6" t="s">
        <v>7547</v>
      </c>
      <c r="C42" s="226" t="n">
        <v>2.24</v>
      </c>
      <c r="D42" s="224"/>
      <c r="E42" s="224"/>
      <c r="F42" s="28" t="s">
        <v>103</v>
      </c>
      <c r="G42" s="224" t="s">
        <v>7548</v>
      </c>
      <c r="H42" s="28" t="s">
        <v>7549</v>
      </c>
      <c r="I42" s="28" t="s">
        <v>6745</v>
      </c>
      <c r="J42" s="6" t="s">
        <v>7550</v>
      </c>
      <c r="K42" s="224" t="n">
        <v>1</v>
      </c>
      <c r="L42" s="224" t="s">
        <v>6610</v>
      </c>
      <c r="M42" s="19" t="s">
        <v>7551</v>
      </c>
      <c r="N42" s="224" t="s">
        <v>7187</v>
      </c>
      <c r="O42" s="28" t="s">
        <v>6613</v>
      </c>
      <c r="P42" s="28" t="s">
        <v>620</v>
      </c>
      <c r="Q42" s="28" t="s">
        <v>7552</v>
      </c>
      <c r="R42" s="28" t="s">
        <v>620</v>
      </c>
      <c r="S42" s="28" t="s">
        <v>620</v>
      </c>
      <c r="T42" s="28" t="s">
        <v>620</v>
      </c>
      <c r="U42" s="28" t="s">
        <v>7553</v>
      </c>
      <c r="V42" s="6" t="s">
        <v>620</v>
      </c>
      <c r="W42" s="19" t="s">
        <v>7554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7555</v>
      </c>
      <c r="B43" s="6" t="s">
        <v>7556</v>
      </c>
      <c r="C43" s="226" t="n">
        <v>2.72</v>
      </c>
      <c r="D43" s="224"/>
      <c r="E43" s="224"/>
      <c r="F43" s="28" t="s">
        <v>103</v>
      </c>
      <c r="G43" s="224" t="s">
        <v>7548</v>
      </c>
      <c r="H43" s="28" t="s">
        <v>7549</v>
      </c>
      <c r="I43" s="28" t="s">
        <v>6745</v>
      </c>
      <c r="J43" s="6" t="s">
        <v>7550</v>
      </c>
      <c r="K43" s="224" t="n">
        <v>1</v>
      </c>
      <c r="L43" s="224" t="s">
        <v>6610</v>
      </c>
      <c r="M43" s="19" t="s">
        <v>7551</v>
      </c>
      <c r="N43" s="224" t="s">
        <v>7187</v>
      </c>
      <c r="O43" s="28" t="s">
        <v>6613</v>
      </c>
      <c r="P43" s="28" t="s">
        <v>620</v>
      </c>
      <c r="Q43" s="28" t="s">
        <v>7552</v>
      </c>
      <c r="R43" s="28" t="s">
        <v>620</v>
      </c>
      <c r="S43" s="28" t="s">
        <v>620</v>
      </c>
      <c r="T43" s="28" t="s">
        <v>620</v>
      </c>
      <c r="U43" s="28" t="s">
        <v>7553</v>
      </c>
      <c r="V43" s="6" t="s">
        <v>620</v>
      </c>
      <c r="W43" s="6" t="s">
        <v>620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7557</v>
      </c>
      <c r="B44" s="6" t="s">
        <v>7558</v>
      </c>
      <c r="C44" s="226" t="n">
        <v>2</v>
      </c>
      <c r="D44" s="224"/>
      <c r="E44" s="224"/>
      <c r="F44" s="28" t="s">
        <v>103</v>
      </c>
      <c r="G44" s="224" t="s">
        <v>6698</v>
      </c>
      <c r="H44" s="28" t="s">
        <v>7559</v>
      </c>
      <c r="I44" s="28" t="s">
        <v>6745</v>
      </c>
      <c r="J44" s="6" t="s">
        <v>7550</v>
      </c>
      <c r="K44" s="224" t="n">
        <v>1</v>
      </c>
      <c r="L44" s="224" t="s">
        <v>6610</v>
      </c>
      <c r="M44" s="19" t="s">
        <v>7551</v>
      </c>
      <c r="N44" s="224" t="s">
        <v>7187</v>
      </c>
      <c r="O44" s="28" t="s">
        <v>6613</v>
      </c>
      <c r="P44" s="28" t="s">
        <v>620</v>
      </c>
      <c r="Q44" s="28" t="s">
        <v>7552</v>
      </c>
      <c r="R44" s="28" t="s">
        <v>620</v>
      </c>
      <c r="S44" s="28" t="s">
        <v>620</v>
      </c>
      <c r="T44" s="28" t="s">
        <v>620</v>
      </c>
      <c r="U44" s="28" t="s">
        <v>7553</v>
      </c>
      <c r="V44" s="6" t="s">
        <v>620</v>
      </c>
      <c r="W44" s="6" t="s">
        <v>620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4630</v>
      </c>
      <c r="B45" s="6" t="s">
        <v>7560</v>
      </c>
      <c r="C45" s="226" t="n">
        <v>73700</v>
      </c>
      <c r="D45" s="224"/>
      <c r="E45" s="224"/>
      <c r="F45" s="28" t="s">
        <v>7561</v>
      </c>
      <c r="G45" s="28" t="s">
        <v>7562</v>
      </c>
      <c r="H45" s="28" t="s">
        <v>7563</v>
      </c>
      <c r="I45" s="28" t="s">
        <v>7564</v>
      </c>
      <c r="J45" s="6" t="s">
        <v>7565</v>
      </c>
      <c r="K45" s="224" t="n">
        <v>1</v>
      </c>
      <c r="L45" s="224" t="s">
        <v>6610</v>
      </c>
      <c r="M45" s="6" t="s">
        <v>7566</v>
      </c>
      <c r="N45" s="224" t="s">
        <v>7187</v>
      </c>
      <c r="O45" s="28" t="s">
        <v>6613</v>
      </c>
      <c r="P45" s="28" t="s">
        <v>620</v>
      </c>
      <c r="Q45" s="28" t="s">
        <v>7567</v>
      </c>
      <c r="R45" s="28" t="s">
        <v>620</v>
      </c>
      <c r="S45" s="28" t="s">
        <v>620</v>
      </c>
      <c r="T45" s="28" t="s">
        <v>620</v>
      </c>
      <c r="U45" s="28" t="s">
        <v>7475</v>
      </c>
      <c r="V45" s="19" t="s">
        <v>7568</v>
      </c>
      <c r="W45" s="19" t="s">
        <v>7569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7570</v>
      </c>
      <c r="AB45" s="28" t="s">
        <v>7571</v>
      </c>
      <c r="AG45" s="224" t="s">
        <v>7572</v>
      </c>
      <c r="AH45" s="42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4701</v>
      </c>
      <c r="B46" s="6" t="s">
        <v>7573</v>
      </c>
      <c r="C46" s="226" t="n">
        <v>14800</v>
      </c>
      <c r="D46" s="224"/>
      <c r="E46" s="224"/>
      <c r="F46" s="28" t="s">
        <v>7561</v>
      </c>
      <c r="G46" s="28" t="s">
        <v>7574</v>
      </c>
      <c r="H46" s="28" t="s">
        <v>7563</v>
      </c>
      <c r="I46" s="28" t="s">
        <v>7564</v>
      </c>
      <c r="J46" s="6" t="s">
        <v>7565</v>
      </c>
      <c r="K46" s="224" t="n">
        <v>1</v>
      </c>
      <c r="L46" s="224" t="s">
        <v>6610</v>
      </c>
      <c r="M46" s="6" t="s">
        <v>7566</v>
      </c>
      <c r="N46" s="224" t="s">
        <v>7187</v>
      </c>
      <c r="O46" s="28" t="s">
        <v>6613</v>
      </c>
      <c r="P46" s="28" t="s">
        <v>620</v>
      </c>
      <c r="Q46" s="28" t="s">
        <v>7567</v>
      </c>
      <c r="R46" s="28" t="s">
        <v>620</v>
      </c>
      <c r="S46" s="28" t="s">
        <v>620</v>
      </c>
      <c r="T46" s="28" t="s">
        <v>620</v>
      </c>
      <c r="U46" s="28" t="s">
        <v>7475</v>
      </c>
      <c r="V46" s="19" t="s">
        <v>7575</v>
      </c>
      <c r="W46" s="19" t="s">
        <v>7576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7570</v>
      </c>
      <c r="AB46" s="28" t="s">
        <v>7571</v>
      </c>
      <c r="AG46" s="224" t="s">
        <v>7577</v>
      </c>
      <c r="AH46" s="42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7578</v>
      </c>
      <c r="B47" s="6" t="s">
        <v>7579</v>
      </c>
      <c r="C47" s="226" t="n">
        <v>608</v>
      </c>
      <c r="D47" s="224"/>
      <c r="E47" s="224"/>
      <c r="F47" s="28" t="s">
        <v>7580</v>
      </c>
      <c r="G47" s="28" t="s">
        <v>7581</v>
      </c>
      <c r="H47" s="28" t="s">
        <v>7563</v>
      </c>
      <c r="I47" s="28" t="s">
        <v>7564</v>
      </c>
      <c r="J47" s="6" t="s">
        <v>7565</v>
      </c>
      <c r="K47" s="224" t="n">
        <v>1</v>
      </c>
      <c r="L47" s="224" t="s">
        <v>6610</v>
      </c>
      <c r="M47" s="6" t="s">
        <v>7566</v>
      </c>
      <c r="N47" s="224" t="s">
        <v>7187</v>
      </c>
      <c r="O47" s="28" t="s">
        <v>6613</v>
      </c>
      <c r="P47" s="28" t="s">
        <v>620</v>
      </c>
      <c r="Q47" s="28" t="s">
        <v>7567</v>
      </c>
      <c r="R47" s="28" t="s">
        <v>620</v>
      </c>
      <c r="S47" s="28" t="s">
        <v>620</v>
      </c>
      <c r="T47" s="28" t="s">
        <v>620</v>
      </c>
      <c r="U47" s="28" t="s">
        <v>7475</v>
      </c>
      <c r="V47" s="6" t="s">
        <v>620</v>
      </c>
      <c r="W47" s="6" t="s">
        <v>620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7582</v>
      </c>
      <c r="B48" s="6" t="s">
        <v>7583</v>
      </c>
      <c r="C48" s="226" t="n">
        <v>0.563</v>
      </c>
      <c r="D48" s="224"/>
      <c r="E48" s="224"/>
      <c r="F48" s="28" t="s">
        <v>99</v>
      </c>
      <c r="G48" s="28" t="s">
        <v>7584</v>
      </c>
      <c r="H48" s="28" t="s">
        <v>7563</v>
      </c>
      <c r="I48" s="28" t="s">
        <v>7564</v>
      </c>
      <c r="J48" s="6" t="s">
        <v>7565</v>
      </c>
      <c r="K48" s="224" t="n">
        <v>1</v>
      </c>
      <c r="L48" s="224" t="s">
        <v>6610</v>
      </c>
      <c r="M48" s="6" t="s">
        <v>7566</v>
      </c>
      <c r="N48" s="224" t="s">
        <v>7187</v>
      </c>
      <c r="O48" s="28" t="s">
        <v>6613</v>
      </c>
      <c r="P48" s="28" t="s">
        <v>620</v>
      </c>
      <c r="Q48" s="28" t="s">
        <v>7567</v>
      </c>
      <c r="R48" s="28" t="s">
        <v>620</v>
      </c>
      <c r="S48" s="28" t="s">
        <v>620</v>
      </c>
      <c r="T48" s="28" t="s">
        <v>620</v>
      </c>
      <c r="U48" s="28" t="s">
        <v>7475</v>
      </c>
      <c r="V48" s="19" t="s">
        <v>7585</v>
      </c>
      <c r="W48" s="19" t="s">
        <v>7586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7587</v>
      </c>
      <c r="B49" s="6" t="s">
        <v>7588</v>
      </c>
      <c r="C49" s="226" t="n">
        <v>168</v>
      </c>
      <c r="D49" s="224"/>
      <c r="E49" s="224"/>
      <c r="F49" s="28" t="s">
        <v>7580</v>
      </c>
      <c r="G49" s="28" t="s">
        <v>7581</v>
      </c>
      <c r="H49" s="28" t="s">
        <v>7563</v>
      </c>
      <c r="I49" s="28" t="s">
        <v>7564</v>
      </c>
      <c r="J49" s="6" t="s">
        <v>7565</v>
      </c>
      <c r="K49" s="224" t="n">
        <v>1</v>
      </c>
      <c r="L49" s="224" t="s">
        <v>6610</v>
      </c>
      <c r="M49" s="6" t="s">
        <v>7566</v>
      </c>
      <c r="N49" s="224" t="s">
        <v>7187</v>
      </c>
      <c r="O49" s="28" t="s">
        <v>6613</v>
      </c>
      <c r="P49" s="28" t="s">
        <v>620</v>
      </c>
      <c r="Q49" s="28" t="s">
        <v>7567</v>
      </c>
      <c r="R49" s="28" t="s">
        <v>620</v>
      </c>
      <c r="S49" s="28" t="s">
        <v>620</v>
      </c>
      <c r="T49" s="28" t="s">
        <v>620</v>
      </c>
      <c r="U49" s="28" t="s">
        <v>7475</v>
      </c>
      <c r="V49" s="6" t="s">
        <v>620</v>
      </c>
      <c r="W49" s="6" t="s">
        <v>620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7589</v>
      </c>
      <c r="B50" s="6" t="s">
        <v>7590</v>
      </c>
      <c r="C50" s="224"/>
      <c r="D50" s="226" t="n">
        <v>20</v>
      </c>
      <c r="E50" s="226" t="n">
        <v>22</v>
      </c>
      <c r="F50" s="28" t="s">
        <v>372</v>
      </c>
      <c r="G50" s="28" t="s">
        <v>7581</v>
      </c>
      <c r="H50" s="28" t="s">
        <v>7563</v>
      </c>
      <c r="I50" s="28" t="s">
        <v>7564</v>
      </c>
      <c r="J50" s="6" t="s">
        <v>7565</v>
      </c>
      <c r="K50" s="224" t="n">
        <v>1</v>
      </c>
      <c r="L50" s="224" t="s">
        <v>6610</v>
      </c>
      <c r="M50" s="6" t="s">
        <v>7566</v>
      </c>
      <c r="N50" s="224" t="s">
        <v>7187</v>
      </c>
      <c r="O50" s="28" t="s">
        <v>6613</v>
      </c>
      <c r="P50" s="28" t="s">
        <v>620</v>
      </c>
      <c r="Q50" s="28" t="s">
        <v>7567</v>
      </c>
      <c r="R50" s="28" t="s">
        <v>620</v>
      </c>
      <c r="S50" s="28" t="s">
        <v>620</v>
      </c>
      <c r="T50" s="28" t="s">
        <v>620</v>
      </c>
      <c r="U50" s="28" t="s">
        <v>7475</v>
      </c>
      <c r="V50" s="19" t="s">
        <v>7591</v>
      </c>
      <c r="W50" s="19" t="s">
        <v>7592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7593</v>
      </c>
      <c r="B51" s="6" t="s">
        <v>7594</v>
      </c>
      <c r="C51" s="226" t="n">
        <v>4989</v>
      </c>
      <c r="D51" s="224"/>
      <c r="E51" s="224"/>
      <c r="F51" s="28" t="s">
        <v>292</v>
      </c>
      <c r="G51" s="28" t="s">
        <v>7581</v>
      </c>
      <c r="H51" s="28" t="s">
        <v>7563</v>
      </c>
      <c r="I51" s="28" t="s">
        <v>7564</v>
      </c>
      <c r="J51" s="6" t="s">
        <v>7565</v>
      </c>
      <c r="K51" s="224" t="n">
        <v>1</v>
      </c>
      <c r="L51" s="224" t="s">
        <v>6610</v>
      </c>
      <c r="M51" s="6" t="s">
        <v>7566</v>
      </c>
      <c r="N51" s="224" t="s">
        <v>7187</v>
      </c>
      <c r="O51" s="28" t="s">
        <v>6613</v>
      </c>
      <c r="P51" s="28" t="s">
        <v>620</v>
      </c>
      <c r="Q51" s="28" t="s">
        <v>7567</v>
      </c>
      <c r="R51" s="28" t="s">
        <v>620</v>
      </c>
      <c r="S51" s="28" t="s">
        <v>620</v>
      </c>
      <c r="T51" s="28" t="s">
        <v>620</v>
      </c>
      <c r="U51" s="28" t="s">
        <v>7475</v>
      </c>
      <c r="V51" s="6" t="s">
        <v>620</v>
      </c>
      <c r="W51" s="6" t="s">
        <v>620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7595</v>
      </c>
      <c r="B52" s="6" t="s">
        <v>7596</v>
      </c>
      <c r="C52" s="226" t="n">
        <v>278</v>
      </c>
      <c r="D52" s="224"/>
      <c r="E52" s="224"/>
      <c r="F52" s="224" t="s">
        <v>7597</v>
      </c>
      <c r="G52" s="28" t="s">
        <v>7598</v>
      </c>
      <c r="H52" s="28" t="s">
        <v>7563</v>
      </c>
      <c r="I52" s="28" t="s">
        <v>7564</v>
      </c>
      <c r="J52" s="6" t="s">
        <v>7565</v>
      </c>
      <c r="K52" s="224" t="n">
        <v>1</v>
      </c>
      <c r="L52" s="224" t="s">
        <v>6610</v>
      </c>
      <c r="M52" s="6" t="s">
        <v>7566</v>
      </c>
      <c r="N52" s="224" t="s">
        <v>7187</v>
      </c>
      <c r="O52" s="28" t="s">
        <v>6613</v>
      </c>
      <c r="P52" s="28" t="s">
        <v>620</v>
      </c>
      <c r="Q52" s="28" t="s">
        <v>7567</v>
      </c>
      <c r="R52" s="28" t="s">
        <v>620</v>
      </c>
      <c r="S52" s="28" t="s">
        <v>620</v>
      </c>
      <c r="T52" s="28" t="s">
        <v>620</v>
      </c>
      <c r="U52" s="28" t="s">
        <v>7475</v>
      </c>
      <c r="V52" s="6" t="s">
        <v>620</v>
      </c>
      <c r="W52" s="19" t="s">
        <v>7599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7600</v>
      </c>
      <c r="B53" s="6" t="s">
        <v>7601</v>
      </c>
      <c r="C53" s="226" t="n">
        <v>226.75</v>
      </c>
      <c r="D53" s="224"/>
      <c r="E53" s="224"/>
      <c r="F53" s="224" t="s">
        <v>7597</v>
      </c>
      <c r="G53" s="28" t="s">
        <v>7598</v>
      </c>
      <c r="H53" s="28" t="s">
        <v>7563</v>
      </c>
      <c r="I53" s="28" t="s">
        <v>7564</v>
      </c>
      <c r="J53" s="6" t="s">
        <v>7565</v>
      </c>
      <c r="K53" s="224" t="n">
        <v>1</v>
      </c>
      <c r="L53" s="224" t="s">
        <v>6610</v>
      </c>
      <c r="M53" s="6" t="s">
        <v>7566</v>
      </c>
      <c r="N53" s="224" t="s">
        <v>7187</v>
      </c>
      <c r="O53" s="28" t="s">
        <v>6613</v>
      </c>
      <c r="P53" s="28" t="s">
        <v>620</v>
      </c>
      <c r="Q53" s="28" t="s">
        <v>7567</v>
      </c>
      <c r="R53" s="28" t="s">
        <v>620</v>
      </c>
      <c r="S53" s="28" t="s">
        <v>620</v>
      </c>
      <c r="T53" s="28" t="s">
        <v>620</v>
      </c>
      <c r="U53" s="28" t="s">
        <v>7475</v>
      </c>
      <c r="V53" s="6" t="s">
        <v>620</v>
      </c>
      <c r="W53" s="6" t="s">
        <v>620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7602</v>
      </c>
      <c r="B54" s="6" t="s">
        <v>7603</v>
      </c>
      <c r="C54" s="226" t="n">
        <v>4</v>
      </c>
      <c r="D54" s="224"/>
      <c r="E54" s="224"/>
      <c r="F54" s="224" t="s">
        <v>7597</v>
      </c>
      <c r="G54" s="28" t="s">
        <v>7604</v>
      </c>
      <c r="H54" s="28" t="s">
        <v>7563</v>
      </c>
      <c r="I54" s="28" t="s">
        <v>7564</v>
      </c>
      <c r="J54" s="6" t="s">
        <v>7565</v>
      </c>
      <c r="K54" s="224" t="n">
        <v>1</v>
      </c>
      <c r="L54" s="224" t="s">
        <v>6610</v>
      </c>
      <c r="M54" s="6" t="s">
        <v>7566</v>
      </c>
      <c r="N54" s="224" t="s">
        <v>7187</v>
      </c>
      <c r="O54" s="28" t="s">
        <v>6613</v>
      </c>
      <c r="P54" s="28" t="s">
        <v>620</v>
      </c>
      <c r="Q54" s="28" t="s">
        <v>7567</v>
      </c>
      <c r="R54" s="28" t="s">
        <v>620</v>
      </c>
      <c r="S54" s="28" t="s">
        <v>620</v>
      </c>
      <c r="T54" s="28" t="s">
        <v>620</v>
      </c>
      <c r="U54" s="28" t="s">
        <v>7475</v>
      </c>
      <c r="V54" s="19" t="s">
        <v>7605</v>
      </c>
      <c r="W54" s="19" t="s">
        <v>7606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4249</v>
      </c>
      <c r="B55" s="6" t="s">
        <v>7607</v>
      </c>
      <c r="C55" s="226" t="n">
        <v>18</v>
      </c>
      <c r="D55" s="224"/>
      <c r="E55" s="224"/>
      <c r="F55" s="224" t="s">
        <v>7597</v>
      </c>
      <c r="G55" s="28" t="s">
        <v>7608</v>
      </c>
      <c r="H55" s="28" t="s">
        <v>7563</v>
      </c>
      <c r="I55" s="28" t="s">
        <v>7564</v>
      </c>
      <c r="J55" s="6" t="s">
        <v>7565</v>
      </c>
      <c r="K55" s="224" t="n">
        <v>1</v>
      </c>
      <c r="L55" s="224" t="s">
        <v>6610</v>
      </c>
      <c r="M55" s="6" t="s">
        <v>7566</v>
      </c>
      <c r="N55" s="224" t="s">
        <v>7187</v>
      </c>
      <c r="O55" s="28" t="s">
        <v>6613</v>
      </c>
      <c r="P55" s="28" t="s">
        <v>620</v>
      </c>
      <c r="Q55" s="28" t="s">
        <v>7567</v>
      </c>
      <c r="R55" s="28" t="s">
        <v>620</v>
      </c>
      <c r="S55" s="28" t="s">
        <v>620</v>
      </c>
      <c r="T55" s="28" t="s">
        <v>620</v>
      </c>
      <c r="U55" s="28" t="s">
        <v>7475</v>
      </c>
      <c r="V55" s="19" t="s">
        <v>7609</v>
      </c>
      <c r="W55" s="19" t="s">
        <v>7610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7611</v>
      </c>
      <c r="B56" s="6" t="s">
        <v>7612</v>
      </c>
      <c r="C56" s="226" t="n">
        <v>558802.8</v>
      </c>
      <c r="D56" s="224"/>
      <c r="E56" s="224"/>
      <c r="F56" s="28" t="s">
        <v>7613</v>
      </c>
      <c r="G56" s="28" t="s">
        <v>7614</v>
      </c>
      <c r="H56" s="28" t="s">
        <v>7615</v>
      </c>
      <c r="I56" s="28" t="s">
        <v>7616</v>
      </c>
      <c r="J56" s="6" t="s">
        <v>7498</v>
      </c>
      <c r="K56" s="224" t="n">
        <v>1</v>
      </c>
      <c r="L56" s="224" t="s">
        <v>6610</v>
      </c>
      <c r="M56" s="6" t="s">
        <v>7617</v>
      </c>
      <c r="N56" s="224" t="s">
        <v>6612</v>
      </c>
      <c r="O56" s="28" t="s">
        <v>6613</v>
      </c>
      <c r="P56" s="28" t="s">
        <v>620</v>
      </c>
      <c r="Q56" s="28" t="s">
        <v>7618</v>
      </c>
      <c r="R56" s="28" t="s">
        <v>5532</v>
      </c>
      <c r="S56" s="28" t="s">
        <v>620</v>
      </c>
      <c r="T56" s="28" t="s">
        <v>620</v>
      </c>
      <c r="U56" s="28" t="s">
        <v>7619</v>
      </c>
      <c r="V56" s="6" t="s">
        <v>620</v>
      </c>
      <c r="W56" s="6" t="s">
        <v>7620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7621</v>
      </c>
      <c r="B57" s="6" t="s">
        <v>7622</v>
      </c>
      <c r="C57" s="226" t="n">
        <v>591368.3</v>
      </c>
      <c r="D57" s="224"/>
      <c r="E57" s="224"/>
      <c r="F57" s="28" t="s">
        <v>7613</v>
      </c>
      <c r="G57" s="28" t="s">
        <v>7623</v>
      </c>
      <c r="H57" s="28" t="s">
        <v>7615</v>
      </c>
      <c r="I57" s="28" t="s">
        <v>7616</v>
      </c>
      <c r="J57" s="6" t="s">
        <v>7498</v>
      </c>
      <c r="K57" s="224" t="n">
        <v>1</v>
      </c>
      <c r="L57" s="224" t="s">
        <v>6610</v>
      </c>
      <c r="M57" s="6" t="s">
        <v>7617</v>
      </c>
      <c r="N57" s="224" t="s">
        <v>6612</v>
      </c>
      <c r="O57" s="28" t="s">
        <v>6613</v>
      </c>
      <c r="P57" s="28" t="s">
        <v>620</v>
      </c>
      <c r="Q57" s="28" t="s">
        <v>7618</v>
      </c>
      <c r="R57" s="28" t="s">
        <v>7624</v>
      </c>
      <c r="S57" s="28" t="s">
        <v>620</v>
      </c>
      <c r="T57" s="28" t="s">
        <v>620</v>
      </c>
      <c r="U57" s="28" t="s">
        <v>7619</v>
      </c>
      <c r="V57" s="6" t="s">
        <v>620</v>
      </c>
      <c r="W57" s="6" t="s">
        <v>7620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7625</v>
      </c>
      <c r="B58" s="6" t="s">
        <v>7626</v>
      </c>
      <c r="C58" s="226" t="n">
        <v>689961</v>
      </c>
      <c r="D58" s="224"/>
      <c r="E58" s="224"/>
      <c r="F58" s="28" t="s">
        <v>7479</v>
      </c>
      <c r="G58" s="28" t="s">
        <v>7627</v>
      </c>
      <c r="H58" s="28" t="s">
        <v>7628</v>
      </c>
      <c r="I58" s="28" t="s">
        <v>7616</v>
      </c>
      <c r="J58" s="6" t="s">
        <v>7498</v>
      </c>
      <c r="K58" s="224" t="n">
        <v>1</v>
      </c>
      <c r="L58" s="224" t="s">
        <v>6610</v>
      </c>
      <c r="M58" s="6" t="s">
        <v>7629</v>
      </c>
      <c r="N58" s="224" t="s">
        <v>6612</v>
      </c>
      <c r="O58" s="28" t="s">
        <v>6613</v>
      </c>
      <c r="P58" s="28" t="s">
        <v>620</v>
      </c>
      <c r="Q58" s="28" t="s">
        <v>7618</v>
      </c>
      <c r="R58" s="28" t="s">
        <v>7630</v>
      </c>
      <c r="S58" s="28" t="s">
        <v>620</v>
      </c>
      <c r="T58" s="28" t="s">
        <v>620</v>
      </c>
      <c r="U58" s="28" t="s">
        <v>7619</v>
      </c>
      <c r="V58" s="6" t="s">
        <v>620</v>
      </c>
      <c r="W58" s="6" t="s">
        <v>7631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7632</v>
      </c>
      <c r="B59" s="6" t="s">
        <v>7633</v>
      </c>
      <c r="C59" s="226" t="n">
        <v>603023</v>
      </c>
      <c r="D59" s="224"/>
      <c r="E59" s="224"/>
      <c r="F59" s="28" t="s">
        <v>7479</v>
      </c>
      <c r="G59" s="28" t="s">
        <v>7634</v>
      </c>
      <c r="H59" s="28" t="s">
        <v>7628</v>
      </c>
      <c r="I59" s="28" t="s">
        <v>7616</v>
      </c>
      <c r="J59" s="6" t="s">
        <v>7498</v>
      </c>
      <c r="K59" s="224" t="n">
        <v>1</v>
      </c>
      <c r="L59" s="224" t="s">
        <v>6610</v>
      </c>
      <c r="M59" s="6" t="s">
        <v>7629</v>
      </c>
      <c r="N59" s="224" t="s">
        <v>6612</v>
      </c>
      <c r="O59" s="28" t="s">
        <v>6613</v>
      </c>
      <c r="P59" s="28" t="s">
        <v>620</v>
      </c>
      <c r="Q59" s="28" t="s">
        <v>7618</v>
      </c>
      <c r="R59" s="28" t="s">
        <v>7635</v>
      </c>
      <c r="S59" s="28" t="s">
        <v>620</v>
      </c>
      <c r="T59" s="28" t="s">
        <v>620</v>
      </c>
      <c r="U59" s="28" t="s">
        <v>7619</v>
      </c>
      <c r="V59" s="6" t="s">
        <v>620</v>
      </c>
      <c r="W59" s="6" t="s">
        <v>7631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5532</v>
      </c>
      <c r="B60" s="6" t="s">
        <v>7636</v>
      </c>
      <c r="C60" s="226" t="n">
        <v>1183326.9</v>
      </c>
      <c r="D60" s="224"/>
      <c r="E60" s="224"/>
      <c r="F60" s="28" t="s">
        <v>7479</v>
      </c>
      <c r="G60" s="28" t="s">
        <v>7614</v>
      </c>
      <c r="H60" s="28" t="s">
        <v>7637</v>
      </c>
      <c r="I60" s="28" t="s">
        <v>7616</v>
      </c>
      <c r="J60" s="6" t="s">
        <v>7498</v>
      </c>
      <c r="K60" s="224" t="n">
        <v>1</v>
      </c>
      <c r="L60" s="224" t="s">
        <v>6610</v>
      </c>
      <c r="M60" s="6" t="s">
        <v>7617</v>
      </c>
      <c r="N60" s="224" t="s">
        <v>6612</v>
      </c>
      <c r="O60" s="28" t="s">
        <v>6613</v>
      </c>
      <c r="P60" s="28" t="s">
        <v>620</v>
      </c>
      <c r="Q60" s="28" t="s">
        <v>7618</v>
      </c>
      <c r="R60" s="28" t="s">
        <v>7611</v>
      </c>
      <c r="S60" s="28" t="s">
        <v>620</v>
      </c>
      <c r="T60" s="28" t="s">
        <v>620</v>
      </c>
      <c r="U60" s="28" t="s">
        <v>7619</v>
      </c>
      <c r="V60" s="6" t="s">
        <v>620</v>
      </c>
      <c r="W60" s="6" t="s">
        <v>7638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2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7624</v>
      </c>
      <c r="B61" s="6" t="s">
        <v>7639</v>
      </c>
      <c r="C61" s="226" t="n">
        <v>1175890.2</v>
      </c>
      <c r="D61" s="224"/>
      <c r="E61" s="224"/>
      <c r="F61" s="28" t="s">
        <v>7479</v>
      </c>
      <c r="G61" s="28" t="s">
        <v>7623</v>
      </c>
      <c r="H61" s="28" t="s">
        <v>7637</v>
      </c>
      <c r="I61" s="28" t="s">
        <v>7616</v>
      </c>
      <c r="J61" s="6" t="s">
        <v>7498</v>
      </c>
      <c r="K61" s="224" t="n">
        <v>1</v>
      </c>
      <c r="L61" s="224" t="s">
        <v>6610</v>
      </c>
      <c r="M61" s="6" t="s">
        <v>7617</v>
      </c>
      <c r="N61" s="224" t="s">
        <v>6612</v>
      </c>
      <c r="O61" s="28" t="s">
        <v>6613</v>
      </c>
      <c r="P61" s="28" t="s">
        <v>620</v>
      </c>
      <c r="Q61" s="28" t="s">
        <v>7618</v>
      </c>
      <c r="R61" s="28" t="s">
        <v>7621</v>
      </c>
      <c r="S61" s="28" t="s">
        <v>620</v>
      </c>
      <c r="T61" s="28" t="s">
        <v>620</v>
      </c>
      <c r="U61" s="28" t="s">
        <v>7619</v>
      </c>
      <c r="V61" s="6" t="s">
        <v>620</v>
      </c>
      <c r="W61" s="6" t="s">
        <v>7638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2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7630</v>
      </c>
      <c r="B62" s="6" t="s">
        <v>7640</v>
      </c>
      <c r="C62" s="226" t="n">
        <v>679740</v>
      </c>
      <c r="D62" s="224"/>
      <c r="E62" s="224"/>
      <c r="F62" s="28" t="s">
        <v>7479</v>
      </c>
      <c r="G62" s="28" t="s">
        <v>7627</v>
      </c>
      <c r="H62" s="28" t="s">
        <v>7641</v>
      </c>
      <c r="I62" s="28" t="s">
        <v>7616</v>
      </c>
      <c r="J62" s="6" t="s">
        <v>7498</v>
      </c>
      <c r="K62" s="224" t="n">
        <v>1</v>
      </c>
      <c r="L62" s="224" t="s">
        <v>6610</v>
      </c>
      <c r="M62" s="6" t="s">
        <v>7629</v>
      </c>
      <c r="N62" s="224" t="s">
        <v>6612</v>
      </c>
      <c r="O62" s="28" t="s">
        <v>6613</v>
      </c>
      <c r="P62" s="28" t="s">
        <v>620</v>
      </c>
      <c r="Q62" s="28" t="s">
        <v>7618</v>
      </c>
      <c r="R62" s="28" t="s">
        <v>7625</v>
      </c>
      <c r="S62" s="28" t="s">
        <v>620</v>
      </c>
      <c r="T62" s="28" t="s">
        <v>620</v>
      </c>
      <c r="U62" s="28" t="s">
        <v>7619</v>
      </c>
      <c r="V62" s="6" t="s">
        <v>620</v>
      </c>
      <c r="W62" s="6" t="s">
        <v>7642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2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7635</v>
      </c>
      <c r="B63" s="6" t="s">
        <v>7643</v>
      </c>
      <c r="C63" s="226" t="n">
        <v>596944</v>
      </c>
      <c r="D63" s="224"/>
      <c r="E63" s="224"/>
      <c r="F63" s="28" t="s">
        <v>7479</v>
      </c>
      <c r="G63" s="28" t="s">
        <v>7634</v>
      </c>
      <c r="H63" s="28" t="s">
        <v>7641</v>
      </c>
      <c r="I63" s="28" t="s">
        <v>7616</v>
      </c>
      <c r="J63" s="6" t="s">
        <v>7498</v>
      </c>
      <c r="K63" s="224" t="n">
        <v>1</v>
      </c>
      <c r="L63" s="224" t="s">
        <v>6610</v>
      </c>
      <c r="M63" s="6" t="s">
        <v>7629</v>
      </c>
      <c r="N63" s="224" t="s">
        <v>6612</v>
      </c>
      <c r="O63" s="28" t="s">
        <v>6613</v>
      </c>
      <c r="P63" s="28" t="s">
        <v>620</v>
      </c>
      <c r="Q63" s="28" t="s">
        <v>7618</v>
      </c>
      <c r="R63" s="28" t="s">
        <v>7632</v>
      </c>
      <c r="S63" s="28" t="s">
        <v>620</v>
      </c>
      <c r="T63" s="28" t="s">
        <v>620</v>
      </c>
      <c r="U63" s="28" t="s">
        <v>7619</v>
      </c>
      <c r="V63" s="6" t="s">
        <v>620</v>
      </c>
      <c r="W63" s="6" t="s">
        <v>7642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21" t="s">
        <v>7644</v>
      </c>
    </row>
    <row r="2" customFormat="false" ht="15" hidden="false" customHeight="true" outlineLevel="0" collapsed="false">
      <c r="A2" s="233" t="s">
        <v>6584</v>
      </c>
    </row>
    <row r="3" customFormat="false" ht="15" hidden="false" customHeight="true" outlineLevel="0" collapsed="false">
      <c r="A3" s="233" t="s">
        <v>7645</v>
      </c>
    </row>
    <row r="4" customFormat="false" ht="43.5" hidden="false" customHeight="true" outlineLevel="0" collapsed="false">
      <c r="A4" s="84" t="s">
        <v>6586</v>
      </c>
      <c r="B4" s="222" t="s">
        <v>2401</v>
      </c>
      <c r="C4" s="222" t="s">
        <v>6587</v>
      </c>
      <c r="D4" s="222" t="s">
        <v>1150</v>
      </c>
      <c r="E4" s="222" t="s">
        <v>1151</v>
      </c>
      <c r="F4" s="222" t="s">
        <v>83</v>
      </c>
      <c r="G4" s="222" t="s">
        <v>472</v>
      </c>
      <c r="H4" s="222" t="s">
        <v>6588</v>
      </c>
      <c r="I4" s="222" t="s">
        <v>5819</v>
      </c>
      <c r="J4" s="222" t="s">
        <v>5822</v>
      </c>
      <c r="K4" s="222" t="s">
        <v>5993</v>
      </c>
      <c r="L4" s="222" t="s">
        <v>6589</v>
      </c>
      <c r="M4" s="222" t="s">
        <v>6590</v>
      </c>
      <c r="N4" s="222" t="s">
        <v>6591</v>
      </c>
      <c r="O4" s="222" t="s">
        <v>607</v>
      </c>
      <c r="P4" s="222" t="s">
        <v>6592</v>
      </c>
      <c r="Q4" s="84" t="s">
        <v>6593</v>
      </c>
      <c r="R4" s="222" t="s">
        <v>6594</v>
      </c>
      <c r="S4" s="222" t="s">
        <v>6595</v>
      </c>
      <c r="T4" s="84" t="s">
        <v>6596</v>
      </c>
      <c r="U4" s="222" t="s">
        <v>6597</v>
      </c>
      <c r="V4" s="222" t="s">
        <v>6598</v>
      </c>
      <c r="W4" s="222" t="s">
        <v>6599</v>
      </c>
      <c r="X4" s="223" t="s">
        <v>7646</v>
      </c>
      <c r="Y4" s="223" t="s">
        <v>7647</v>
      </c>
      <c r="Z4" s="223" t="s">
        <v>7648</v>
      </c>
      <c r="AA4" s="223" t="s">
        <v>7649</v>
      </c>
      <c r="AB4" s="223" t="s">
        <v>7650</v>
      </c>
      <c r="AC4" s="222" t="s">
        <v>6600</v>
      </c>
      <c r="AD4" s="222" t="s">
        <v>6601</v>
      </c>
      <c r="AE4" s="222" t="s">
        <v>6602</v>
      </c>
      <c r="AM4" s="83" t="s">
        <v>6603</v>
      </c>
    </row>
    <row r="5" customFormat="false" ht="29.25" hidden="false" customHeight="true" outlineLevel="0" collapsed="false">
      <c r="A5" s="28" t="s">
        <v>2888</v>
      </c>
      <c r="B5" s="6" t="s">
        <v>7651</v>
      </c>
      <c r="C5" s="226" t="n">
        <v>42</v>
      </c>
      <c r="D5" s="224"/>
      <c r="E5" s="224"/>
      <c r="F5" s="28" t="s">
        <v>7652</v>
      </c>
      <c r="G5" s="224" t="s">
        <v>7653</v>
      </c>
      <c r="H5" s="28" t="s">
        <v>7654</v>
      </c>
      <c r="I5" s="28" t="s">
        <v>6715</v>
      </c>
      <c r="J5" s="6" t="s">
        <v>7655</v>
      </c>
      <c r="K5" s="224" t="n">
        <v>3</v>
      </c>
      <c r="L5" s="224" t="s">
        <v>6610</v>
      </c>
      <c r="M5" s="6" t="s">
        <v>7656</v>
      </c>
      <c r="N5" s="224" t="s">
        <v>6623</v>
      </c>
      <c r="O5" s="28" t="s">
        <v>6613</v>
      </c>
      <c r="P5" s="28" t="s">
        <v>620</v>
      </c>
      <c r="Q5" s="28" t="s">
        <v>7657</v>
      </c>
      <c r="R5" s="28" t="s">
        <v>620</v>
      </c>
      <c r="S5" s="28" t="s">
        <v>620</v>
      </c>
      <c r="T5" s="28" t="s">
        <v>620</v>
      </c>
      <c r="U5" s="28" t="s">
        <v>7658</v>
      </c>
      <c r="V5" s="6" t="s">
        <v>7659</v>
      </c>
      <c r="W5" s="6" t="s">
        <v>7660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2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2895</v>
      </c>
      <c r="B6" s="19" t="s">
        <v>7661</v>
      </c>
      <c r="C6" s="226" t="n">
        <v>3.57</v>
      </c>
      <c r="D6" s="224"/>
      <c r="E6" s="224"/>
      <c r="F6" s="28" t="s">
        <v>852</v>
      </c>
      <c r="G6" s="28" t="s">
        <v>7662</v>
      </c>
      <c r="H6" s="224" t="s">
        <v>7663</v>
      </c>
      <c r="I6" s="28" t="s">
        <v>1224</v>
      </c>
      <c r="J6" s="6" t="s">
        <v>7664</v>
      </c>
      <c r="K6" s="224" t="n">
        <v>2</v>
      </c>
      <c r="L6" s="224" t="s">
        <v>6717</v>
      </c>
      <c r="M6" s="19" t="s">
        <v>7665</v>
      </c>
      <c r="N6" s="224" t="s">
        <v>7666</v>
      </c>
      <c r="O6" s="28" t="s">
        <v>6613</v>
      </c>
      <c r="P6" s="28" t="s">
        <v>620</v>
      </c>
      <c r="Q6" s="28" t="s">
        <v>7667</v>
      </c>
      <c r="R6" s="28" t="s">
        <v>620</v>
      </c>
      <c r="S6" s="28" t="s">
        <v>620</v>
      </c>
      <c r="T6" s="28" t="s">
        <v>620</v>
      </c>
      <c r="U6" s="28" t="s">
        <v>7668</v>
      </c>
      <c r="V6" s="6" t="s">
        <v>7669</v>
      </c>
      <c r="W6" s="19" t="s">
        <v>7670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2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7671</v>
      </c>
      <c r="B7" s="6" t="s">
        <v>7672</v>
      </c>
      <c r="C7" s="226" t="n">
        <v>0.1</v>
      </c>
      <c r="D7" s="224"/>
      <c r="E7" s="224"/>
      <c r="F7" s="28" t="s">
        <v>807</v>
      </c>
      <c r="G7" s="28" t="s">
        <v>7673</v>
      </c>
      <c r="H7" s="28" t="s">
        <v>1211</v>
      </c>
      <c r="I7" s="28" t="s">
        <v>1215</v>
      </c>
      <c r="J7" s="6" t="s">
        <v>7674</v>
      </c>
      <c r="K7" s="224" t="n">
        <v>1</v>
      </c>
      <c r="L7" s="224" t="s">
        <v>6610</v>
      </c>
      <c r="M7" s="6" t="s">
        <v>7675</v>
      </c>
      <c r="N7" s="224" t="s">
        <v>7187</v>
      </c>
      <c r="O7" s="28" t="s">
        <v>6613</v>
      </c>
      <c r="P7" s="28" t="s">
        <v>620</v>
      </c>
      <c r="Q7" s="28" t="s">
        <v>7676</v>
      </c>
      <c r="R7" s="28" t="s">
        <v>620</v>
      </c>
      <c r="S7" s="28" t="s">
        <v>620</v>
      </c>
      <c r="T7" s="28" t="s">
        <v>620</v>
      </c>
      <c r="U7" s="28" t="s">
        <v>7677</v>
      </c>
      <c r="V7" s="6" t="s">
        <v>7678</v>
      </c>
      <c r="W7" s="6" t="s">
        <v>620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2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7679</v>
      </c>
      <c r="B8" s="6" t="s">
        <v>7680</v>
      </c>
      <c r="C8" s="226" t="n">
        <v>0.01</v>
      </c>
      <c r="D8" s="224"/>
      <c r="E8" s="224"/>
      <c r="F8" s="28" t="s">
        <v>807</v>
      </c>
      <c r="G8" s="28" t="s">
        <v>7673</v>
      </c>
      <c r="H8" s="28" t="s">
        <v>1211</v>
      </c>
      <c r="I8" s="28" t="s">
        <v>1215</v>
      </c>
      <c r="J8" s="6" t="s">
        <v>7674</v>
      </c>
      <c r="K8" s="224" t="n">
        <v>1</v>
      </c>
      <c r="L8" s="224" t="s">
        <v>6610</v>
      </c>
      <c r="M8" s="6" t="s">
        <v>7675</v>
      </c>
      <c r="N8" s="224" t="s">
        <v>7187</v>
      </c>
      <c r="O8" s="28" t="s">
        <v>6613</v>
      </c>
      <c r="P8" s="28" t="s">
        <v>620</v>
      </c>
      <c r="Q8" s="28" t="s">
        <v>7676</v>
      </c>
      <c r="R8" s="28" t="s">
        <v>620</v>
      </c>
      <c r="S8" s="28" t="s">
        <v>620</v>
      </c>
      <c r="T8" s="28" t="s">
        <v>620</v>
      </c>
      <c r="U8" s="28" t="s">
        <v>7677</v>
      </c>
      <c r="V8" s="6" t="s">
        <v>7681</v>
      </c>
      <c r="W8" s="6" t="s">
        <v>620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2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7682</v>
      </c>
      <c r="B9" s="6" t="s">
        <v>7683</v>
      </c>
      <c r="C9" s="226" t="n">
        <v>0.5</v>
      </c>
      <c r="D9" s="224"/>
      <c r="E9" s="224"/>
      <c r="F9" s="28" t="s">
        <v>807</v>
      </c>
      <c r="G9" s="28" t="s">
        <v>7673</v>
      </c>
      <c r="H9" s="28" t="s">
        <v>1211</v>
      </c>
      <c r="I9" s="28" t="s">
        <v>1215</v>
      </c>
      <c r="J9" s="6" t="s">
        <v>7674</v>
      </c>
      <c r="K9" s="224" t="n">
        <v>1</v>
      </c>
      <c r="L9" s="224" t="s">
        <v>6610</v>
      </c>
      <c r="M9" s="6" t="s">
        <v>7675</v>
      </c>
      <c r="N9" s="224" t="s">
        <v>7187</v>
      </c>
      <c r="O9" s="28" t="s">
        <v>6613</v>
      </c>
      <c r="P9" s="28" t="s">
        <v>620</v>
      </c>
      <c r="Q9" s="28" t="s">
        <v>7676</v>
      </c>
      <c r="R9" s="28" t="s">
        <v>620</v>
      </c>
      <c r="S9" s="28" t="s">
        <v>620</v>
      </c>
      <c r="T9" s="28" t="s">
        <v>620</v>
      </c>
      <c r="U9" s="28" t="s">
        <v>7677</v>
      </c>
      <c r="V9" s="6" t="s">
        <v>7684</v>
      </c>
      <c r="W9" s="6" t="s">
        <v>620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2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7685</v>
      </c>
      <c r="B10" s="6" t="s">
        <v>7686</v>
      </c>
      <c r="C10" s="226" t="n">
        <v>2</v>
      </c>
      <c r="D10" s="224"/>
      <c r="E10" s="224"/>
      <c r="F10" s="28" t="s">
        <v>807</v>
      </c>
      <c r="G10" s="28" t="s">
        <v>7673</v>
      </c>
      <c r="H10" s="28" t="s">
        <v>1217</v>
      </c>
      <c r="I10" s="28" t="s">
        <v>1215</v>
      </c>
      <c r="J10" s="6" t="s">
        <v>7674</v>
      </c>
      <c r="K10" s="224" t="n">
        <v>1</v>
      </c>
      <c r="L10" s="224" t="s">
        <v>6610</v>
      </c>
      <c r="M10" s="6" t="s">
        <v>7675</v>
      </c>
      <c r="N10" s="224" t="s">
        <v>7187</v>
      </c>
      <c r="O10" s="28" t="s">
        <v>6613</v>
      </c>
      <c r="P10" s="28" t="s">
        <v>620</v>
      </c>
      <c r="Q10" s="28" t="s">
        <v>7676</v>
      </c>
      <c r="R10" s="28" t="s">
        <v>620</v>
      </c>
      <c r="S10" s="28" t="s">
        <v>620</v>
      </c>
      <c r="T10" s="28" t="s">
        <v>620</v>
      </c>
      <c r="U10" s="28" t="s">
        <v>7677</v>
      </c>
      <c r="V10" s="6" t="s">
        <v>7687</v>
      </c>
      <c r="W10" s="6" t="s">
        <v>620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2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7688</v>
      </c>
      <c r="B11" s="6" t="s">
        <v>7689</v>
      </c>
      <c r="C11" s="226" t="n">
        <v>0.2</v>
      </c>
      <c r="D11" s="224"/>
      <c r="E11" s="224"/>
      <c r="F11" s="28" t="s">
        <v>807</v>
      </c>
      <c r="G11" s="28" t="s">
        <v>7673</v>
      </c>
      <c r="H11" s="28" t="s">
        <v>1217</v>
      </c>
      <c r="I11" s="28" t="s">
        <v>1215</v>
      </c>
      <c r="J11" s="6" t="s">
        <v>7674</v>
      </c>
      <c r="K11" s="224" t="n">
        <v>1</v>
      </c>
      <c r="L11" s="224" t="s">
        <v>6610</v>
      </c>
      <c r="M11" s="6" t="s">
        <v>7675</v>
      </c>
      <c r="N11" s="224" t="s">
        <v>7187</v>
      </c>
      <c r="O11" s="28" t="s">
        <v>6613</v>
      </c>
      <c r="P11" s="28" t="s">
        <v>620</v>
      </c>
      <c r="Q11" s="28" t="s">
        <v>7676</v>
      </c>
      <c r="R11" s="28" t="s">
        <v>620</v>
      </c>
      <c r="S11" s="28" t="s">
        <v>620</v>
      </c>
      <c r="T11" s="28" t="s">
        <v>620</v>
      </c>
      <c r="U11" s="28" t="s">
        <v>7677</v>
      </c>
      <c r="V11" s="6" t="s">
        <v>7690</v>
      </c>
      <c r="W11" s="6" t="s">
        <v>620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2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7691</v>
      </c>
      <c r="B12" s="6" t="s">
        <v>7692</v>
      </c>
      <c r="C12" s="226" t="n">
        <v>10</v>
      </c>
      <c r="D12" s="224"/>
      <c r="E12" s="224"/>
      <c r="F12" s="28" t="s">
        <v>807</v>
      </c>
      <c r="G12" s="28" t="s">
        <v>7673</v>
      </c>
      <c r="H12" s="28" t="s">
        <v>1217</v>
      </c>
      <c r="I12" s="28" t="s">
        <v>1215</v>
      </c>
      <c r="J12" s="6" t="s">
        <v>7674</v>
      </c>
      <c r="K12" s="224" t="n">
        <v>1</v>
      </c>
      <c r="L12" s="224" t="s">
        <v>6610</v>
      </c>
      <c r="M12" s="6" t="s">
        <v>7675</v>
      </c>
      <c r="N12" s="224" t="s">
        <v>7187</v>
      </c>
      <c r="O12" s="28" t="s">
        <v>6613</v>
      </c>
      <c r="P12" s="28" t="s">
        <v>620</v>
      </c>
      <c r="Q12" s="28" t="s">
        <v>7676</v>
      </c>
      <c r="R12" s="28" t="s">
        <v>620</v>
      </c>
      <c r="S12" s="28" t="s">
        <v>620</v>
      </c>
      <c r="T12" s="28" t="s">
        <v>620</v>
      </c>
      <c r="U12" s="28" t="s">
        <v>7677</v>
      </c>
      <c r="V12" s="6" t="s">
        <v>7693</v>
      </c>
      <c r="W12" s="6" t="s">
        <v>620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2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7694</v>
      </c>
      <c r="B13" s="6" t="s">
        <v>7695</v>
      </c>
      <c r="C13" s="226" t="n">
        <v>10</v>
      </c>
      <c r="D13" s="224"/>
      <c r="E13" s="224"/>
      <c r="F13" s="28" t="s">
        <v>807</v>
      </c>
      <c r="G13" s="28" t="s">
        <v>7673</v>
      </c>
      <c r="H13" s="28" t="s">
        <v>1219</v>
      </c>
      <c r="I13" s="28" t="s">
        <v>1215</v>
      </c>
      <c r="J13" s="6" t="s">
        <v>7674</v>
      </c>
      <c r="K13" s="224" t="n">
        <v>1</v>
      </c>
      <c r="L13" s="224" t="s">
        <v>6610</v>
      </c>
      <c r="M13" s="6" t="s">
        <v>7675</v>
      </c>
      <c r="N13" s="224" t="s">
        <v>7187</v>
      </c>
      <c r="O13" s="28" t="s">
        <v>6613</v>
      </c>
      <c r="P13" s="28" t="s">
        <v>620</v>
      </c>
      <c r="Q13" s="28" t="s">
        <v>7676</v>
      </c>
      <c r="R13" s="28" t="s">
        <v>620</v>
      </c>
      <c r="S13" s="28" t="s">
        <v>620</v>
      </c>
      <c r="T13" s="28" t="s">
        <v>620</v>
      </c>
      <c r="U13" s="28" t="s">
        <v>7677</v>
      </c>
      <c r="V13" s="6" t="s">
        <v>7696</v>
      </c>
      <c r="W13" s="6" t="s">
        <v>620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2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7697</v>
      </c>
      <c r="B14" s="6" t="s">
        <v>7698</v>
      </c>
      <c r="C14" s="226" t="n">
        <v>1</v>
      </c>
      <c r="D14" s="224"/>
      <c r="E14" s="224"/>
      <c r="F14" s="28" t="s">
        <v>807</v>
      </c>
      <c r="G14" s="28" t="s">
        <v>7673</v>
      </c>
      <c r="H14" s="28" t="s">
        <v>1219</v>
      </c>
      <c r="I14" s="28" t="s">
        <v>1215</v>
      </c>
      <c r="J14" s="6" t="s">
        <v>7674</v>
      </c>
      <c r="K14" s="224" t="n">
        <v>1</v>
      </c>
      <c r="L14" s="224" t="s">
        <v>6610</v>
      </c>
      <c r="M14" s="6" t="s">
        <v>7675</v>
      </c>
      <c r="N14" s="224" t="s">
        <v>7187</v>
      </c>
      <c r="O14" s="28" t="s">
        <v>6613</v>
      </c>
      <c r="P14" s="28" t="s">
        <v>620</v>
      </c>
      <c r="Q14" s="28" t="s">
        <v>7676</v>
      </c>
      <c r="R14" s="28" t="s">
        <v>620</v>
      </c>
      <c r="S14" s="28" t="s">
        <v>620</v>
      </c>
      <c r="T14" s="28" t="s">
        <v>620</v>
      </c>
      <c r="U14" s="28" t="s">
        <v>7677</v>
      </c>
      <c r="V14" s="6" t="s">
        <v>7699</v>
      </c>
      <c r="W14" s="6" t="s">
        <v>620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2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7700</v>
      </c>
      <c r="B15" s="6" t="s">
        <v>7701</v>
      </c>
      <c r="C15" s="226" t="n">
        <v>50</v>
      </c>
      <c r="D15" s="224"/>
      <c r="E15" s="224"/>
      <c r="F15" s="28" t="s">
        <v>807</v>
      </c>
      <c r="G15" s="28" t="s">
        <v>7673</v>
      </c>
      <c r="H15" s="28" t="s">
        <v>1219</v>
      </c>
      <c r="I15" s="28" t="s">
        <v>1215</v>
      </c>
      <c r="J15" s="6" t="s">
        <v>7674</v>
      </c>
      <c r="K15" s="224" t="n">
        <v>1</v>
      </c>
      <c r="L15" s="224" t="s">
        <v>6610</v>
      </c>
      <c r="M15" s="6" t="s">
        <v>7675</v>
      </c>
      <c r="N15" s="224" t="s">
        <v>7187</v>
      </c>
      <c r="O15" s="28" t="s">
        <v>6613</v>
      </c>
      <c r="P15" s="28" t="s">
        <v>620</v>
      </c>
      <c r="Q15" s="28" t="s">
        <v>7676</v>
      </c>
      <c r="R15" s="28" t="s">
        <v>620</v>
      </c>
      <c r="S15" s="28" t="s">
        <v>620</v>
      </c>
      <c r="T15" s="28" t="s">
        <v>620</v>
      </c>
      <c r="U15" s="28" t="s">
        <v>7677</v>
      </c>
      <c r="V15" s="6" t="s">
        <v>7702</v>
      </c>
      <c r="W15" s="6" t="s">
        <v>620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2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7703</v>
      </c>
      <c r="B16" s="6" t="s">
        <v>7704</v>
      </c>
      <c r="C16" s="226" t="n">
        <v>10</v>
      </c>
      <c r="D16" s="224"/>
      <c r="E16" s="224"/>
      <c r="F16" s="28" t="s">
        <v>807</v>
      </c>
      <c r="G16" s="28" t="s">
        <v>7673</v>
      </c>
      <c r="H16" s="28" t="s">
        <v>1222</v>
      </c>
      <c r="I16" s="28" t="s">
        <v>1224</v>
      </c>
      <c r="J16" s="6" t="s">
        <v>7705</v>
      </c>
      <c r="K16" s="224" t="n">
        <v>2</v>
      </c>
      <c r="L16" s="224" t="s">
        <v>6610</v>
      </c>
      <c r="M16" s="6" t="s">
        <v>7706</v>
      </c>
      <c r="N16" s="224" t="s">
        <v>6623</v>
      </c>
      <c r="O16" s="28" t="s">
        <v>6613</v>
      </c>
      <c r="P16" s="28" t="s">
        <v>620</v>
      </c>
      <c r="Q16" s="28" t="s">
        <v>7707</v>
      </c>
      <c r="R16" s="28" t="s">
        <v>620</v>
      </c>
      <c r="S16" s="28" t="s">
        <v>620</v>
      </c>
      <c r="T16" s="28" t="s">
        <v>620</v>
      </c>
      <c r="U16" s="28" t="s">
        <v>7708</v>
      </c>
      <c r="V16" s="6" t="s">
        <v>7709</v>
      </c>
      <c r="W16" s="6" t="s">
        <v>620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2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7710</v>
      </c>
      <c r="B17" s="6" t="s">
        <v>7711</v>
      </c>
      <c r="C17" s="226" t="n">
        <v>0.25</v>
      </c>
      <c r="D17" s="224"/>
      <c r="E17" s="224"/>
      <c r="F17" s="28" t="s">
        <v>807</v>
      </c>
      <c r="G17" s="28" t="s">
        <v>7673</v>
      </c>
      <c r="H17" s="28" t="s">
        <v>1222</v>
      </c>
      <c r="I17" s="28" t="s">
        <v>1224</v>
      </c>
      <c r="J17" s="6" t="s">
        <v>7705</v>
      </c>
      <c r="K17" s="224" t="n">
        <v>2</v>
      </c>
      <c r="L17" s="224" t="s">
        <v>6610</v>
      </c>
      <c r="M17" s="6" t="s">
        <v>7706</v>
      </c>
      <c r="N17" s="224" t="s">
        <v>6623</v>
      </c>
      <c r="O17" s="28" t="s">
        <v>6613</v>
      </c>
      <c r="P17" s="28" t="s">
        <v>620</v>
      </c>
      <c r="Q17" s="28" t="s">
        <v>7707</v>
      </c>
      <c r="R17" s="28" t="s">
        <v>620</v>
      </c>
      <c r="S17" s="28" t="s">
        <v>620</v>
      </c>
      <c r="T17" s="28" t="s">
        <v>620</v>
      </c>
      <c r="U17" s="28" t="s">
        <v>7708</v>
      </c>
      <c r="V17" s="6" t="s">
        <v>7712</v>
      </c>
      <c r="W17" s="19" t="s">
        <v>7713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2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7714</v>
      </c>
      <c r="B18" s="6" t="s">
        <v>7715</v>
      </c>
      <c r="C18" s="226" t="n">
        <v>50</v>
      </c>
      <c r="D18" s="224"/>
      <c r="E18" s="224"/>
      <c r="F18" s="28" t="s">
        <v>807</v>
      </c>
      <c r="G18" s="28" t="s">
        <v>7673</v>
      </c>
      <c r="H18" s="28" t="s">
        <v>1222</v>
      </c>
      <c r="I18" s="28" t="s">
        <v>1224</v>
      </c>
      <c r="J18" s="6" t="s">
        <v>7705</v>
      </c>
      <c r="K18" s="224" t="n">
        <v>2</v>
      </c>
      <c r="L18" s="224" t="s">
        <v>6610</v>
      </c>
      <c r="M18" s="6" t="s">
        <v>7706</v>
      </c>
      <c r="N18" s="224" t="s">
        <v>6623</v>
      </c>
      <c r="O18" s="28" t="s">
        <v>6613</v>
      </c>
      <c r="P18" s="28" t="s">
        <v>620</v>
      </c>
      <c r="Q18" s="28" t="s">
        <v>7707</v>
      </c>
      <c r="R18" s="28" t="s">
        <v>620</v>
      </c>
      <c r="S18" s="28" t="s">
        <v>620</v>
      </c>
      <c r="T18" s="28" t="s">
        <v>620</v>
      </c>
      <c r="U18" s="28" t="s">
        <v>7708</v>
      </c>
      <c r="V18" s="6" t="s">
        <v>7716</v>
      </c>
      <c r="W18" s="6" t="s">
        <v>620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2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7717</v>
      </c>
      <c r="B19" s="6" t="s">
        <v>7718</v>
      </c>
      <c r="C19" s="226" t="n">
        <v>5</v>
      </c>
      <c r="D19" s="224"/>
      <c r="E19" s="224"/>
      <c r="F19" s="28" t="s">
        <v>807</v>
      </c>
      <c r="G19" s="28" t="s">
        <v>7673</v>
      </c>
      <c r="H19" s="28" t="s">
        <v>1226</v>
      </c>
      <c r="I19" s="28" t="s">
        <v>7719</v>
      </c>
      <c r="J19" s="6" t="s">
        <v>7705</v>
      </c>
      <c r="K19" s="224" t="n">
        <v>2</v>
      </c>
      <c r="L19" s="224" t="s">
        <v>6610</v>
      </c>
      <c r="M19" s="6" t="s">
        <v>7706</v>
      </c>
      <c r="N19" s="224" t="s">
        <v>6623</v>
      </c>
      <c r="O19" s="28" t="s">
        <v>6613</v>
      </c>
      <c r="P19" s="28" t="s">
        <v>620</v>
      </c>
      <c r="Q19" s="28" t="s">
        <v>7707</v>
      </c>
      <c r="R19" s="28" t="s">
        <v>620</v>
      </c>
      <c r="S19" s="28" t="s">
        <v>620</v>
      </c>
      <c r="T19" s="28" t="s">
        <v>620</v>
      </c>
      <c r="U19" s="28" t="s">
        <v>7708</v>
      </c>
      <c r="V19" s="6" t="s">
        <v>7720</v>
      </c>
      <c r="W19" s="19" t="s">
        <v>7721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2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7722</v>
      </c>
      <c r="B20" s="6" t="s">
        <v>7723</v>
      </c>
      <c r="C20" s="226" t="n">
        <v>25</v>
      </c>
      <c r="D20" s="224"/>
      <c r="E20" s="224"/>
      <c r="F20" s="28" t="s">
        <v>807</v>
      </c>
      <c r="G20" s="28" t="s">
        <v>7673</v>
      </c>
      <c r="H20" s="28" t="s">
        <v>1226</v>
      </c>
      <c r="I20" s="28" t="s">
        <v>7719</v>
      </c>
      <c r="J20" s="6" t="s">
        <v>7705</v>
      </c>
      <c r="K20" s="224" t="n">
        <v>2</v>
      </c>
      <c r="L20" s="224" t="s">
        <v>6610</v>
      </c>
      <c r="M20" s="6" t="s">
        <v>7706</v>
      </c>
      <c r="N20" s="224" t="s">
        <v>6623</v>
      </c>
      <c r="O20" s="28" t="s">
        <v>6613</v>
      </c>
      <c r="P20" s="28" t="s">
        <v>620</v>
      </c>
      <c r="Q20" s="28" t="s">
        <v>7707</v>
      </c>
      <c r="R20" s="28" t="s">
        <v>620</v>
      </c>
      <c r="S20" s="28" t="s">
        <v>620</v>
      </c>
      <c r="T20" s="28" t="s">
        <v>620</v>
      </c>
      <c r="U20" s="28" t="s">
        <v>7708</v>
      </c>
      <c r="V20" s="6" t="s">
        <v>7724</v>
      </c>
      <c r="W20" s="6" t="s">
        <v>620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2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7725</v>
      </c>
      <c r="B21" s="6" t="s">
        <v>7726</v>
      </c>
      <c r="C21" s="226" t="n">
        <v>4</v>
      </c>
      <c r="D21" s="224"/>
      <c r="E21" s="224"/>
      <c r="F21" s="28" t="s">
        <v>807</v>
      </c>
      <c r="G21" s="28" t="s">
        <v>7673</v>
      </c>
      <c r="H21" s="28" t="s">
        <v>1229</v>
      </c>
      <c r="I21" s="28" t="s">
        <v>1231</v>
      </c>
      <c r="J21" s="6" t="s">
        <v>7705</v>
      </c>
      <c r="K21" s="224" t="n">
        <v>2</v>
      </c>
      <c r="L21" s="224" t="s">
        <v>6610</v>
      </c>
      <c r="M21" s="6" t="s">
        <v>7706</v>
      </c>
      <c r="N21" s="224" t="s">
        <v>6623</v>
      </c>
      <c r="O21" s="28" t="s">
        <v>6613</v>
      </c>
      <c r="P21" s="28" t="s">
        <v>620</v>
      </c>
      <c r="Q21" s="28" t="s">
        <v>7707</v>
      </c>
      <c r="R21" s="28" t="s">
        <v>620</v>
      </c>
      <c r="S21" s="28" t="s">
        <v>620</v>
      </c>
      <c r="T21" s="28" t="s">
        <v>620</v>
      </c>
      <c r="U21" s="28" t="s">
        <v>7708</v>
      </c>
      <c r="V21" s="6" t="s">
        <v>7727</v>
      </c>
      <c r="W21" s="19" t="s">
        <v>7728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2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7729</v>
      </c>
      <c r="B22" s="6" t="s">
        <v>7730</v>
      </c>
      <c r="C22" s="226" t="n">
        <v>20</v>
      </c>
      <c r="D22" s="224"/>
      <c r="E22" s="224"/>
      <c r="F22" s="28" t="s">
        <v>807</v>
      </c>
      <c r="G22" s="28" t="s">
        <v>7673</v>
      </c>
      <c r="H22" s="28" t="s">
        <v>1229</v>
      </c>
      <c r="I22" s="28" t="s">
        <v>1231</v>
      </c>
      <c r="J22" s="6" t="s">
        <v>7705</v>
      </c>
      <c r="K22" s="224" t="n">
        <v>2</v>
      </c>
      <c r="L22" s="224" t="s">
        <v>6610</v>
      </c>
      <c r="M22" s="6" t="s">
        <v>7706</v>
      </c>
      <c r="N22" s="224" t="s">
        <v>6623</v>
      </c>
      <c r="O22" s="28" t="s">
        <v>6613</v>
      </c>
      <c r="P22" s="28" t="s">
        <v>620</v>
      </c>
      <c r="Q22" s="28" t="s">
        <v>7707</v>
      </c>
      <c r="R22" s="28" t="s">
        <v>620</v>
      </c>
      <c r="S22" s="28" t="s">
        <v>620</v>
      </c>
      <c r="T22" s="28" t="s">
        <v>620</v>
      </c>
      <c r="U22" s="28" t="s">
        <v>7708</v>
      </c>
      <c r="V22" s="6" t="s">
        <v>7731</v>
      </c>
      <c r="W22" s="6" t="s">
        <v>620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2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7732</v>
      </c>
      <c r="B23" s="6" t="s">
        <v>7733</v>
      </c>
      <c r="C23" s="226" t="n">
        <v>1.25</v>
      </c>
      <c r="D23" s="224"/>
      <c r="E23" s="224"/>
      <c r="F23" s="28" t="s">
        <v>7734</v>
      </c>
      <c r="G23" s="28" t="s">
        <v>620</v>
      </c>
      <c r="H23" s="28" t="s">
        <v>1223</v>
      </c>
      <c r="I23" s="28" t="s">
        <v>7719</v>
      </c>
      <c r="J23" s="6" t="s">
        <v>7705</v>
      </c>
      <c r="K23" s="224" t="n">
        <v>2</v>
      </c>
      <c r="L23" s="224" t="s">
        <v>6610</v>
      </c>
      <c r="M23" s="6" t="s">
        <v>7706</v>
      </c>
      <c r="N23" s="224" t="s">
        <v>6623</v>
      </c>
      <c r="O23" s="28" t="s">
        <v>6613</v>
      </c>
      <c r="P23" s="28" t="s">
        <v>620</v>
      </c>
      <c r="Q23" s="28" t="s">
        <v>7707</v>
      </c>
      <c r="R23" s="28" t="s">
        <v>620</v>
      </c>
      <c r="S23" s="28" t="s">
        <v>620</v>
      </c>
      <c r="T23" s="28" t="s">
        <v>620</v>
      </c>
      <c r="U23" s="28" t="s">
        <v>7708</v>
      </c>
      <c r="V23" s="6" t="s">
        <v>620</v>
      </c>
      <c r="W23" s="6" t="s">
        <v>620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2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7735</v>
      </c>
      <c r="B24" s="6" t="s">
        <v>7736</v>
      </c>
      <c r="C24" s="226" t="n">
        <v>2</v>
      </c>
      <c r="D24" s="224"/>
      <c r="E24" s="224"/>
      <c r="F24" s="28" t="s">
        <v>7734</v>
      </c>
      <c r="G24" s="28" t="s">
        <v>620</v>
      </c>
      <c r="H24" s="28" t="s">
        <v>1223</v>
      </c>
      <c r="I24" s="28" t="s">
        <v>7719</v>
      </c>
      <c r="J24" s="6" t="s">
        <v>7705</v>
      </c>
      <c r="K24" s="224" t="n">
        <v>2</v>
      </c>
      <c r="L24" s="224" t="s">
        <v>6610</v>
      </c>
      <c r="M24" s="6" t="s">
        <v>7706</v>
      </c>
      <c r="N24" s="224" t="s">
        <v>6623</v>
      </c>
      <c r="O24" s="28" t="s">
        <v>6613</v>
      </c>
      <c r="P24" s="28" t="s">
        <v>620</v>
      </c>
      <c r="Q24" s="28" t="s">
        <v>7707</v>
      </c>
      <c r="R24" s="28" t="s">
        <v>620</v>
      </c>
      <c r="S24" s="28" t="s">
        <v>620</v>
      </c>
      <c r="T24" s="28" t="s">
        <v>620</v>
      </c>
      <c r="U24" s="28" t="s">
        <v>7708</v>
      </c>
      <c r="V24" s="6" t="s">
        <v>620</v>
      </c>
      <c r="W24" s="6" t="s">
        <v>620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2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7737</v>
      </c>
      <c r="B25" s="6" t="s">
        <v>7738</v>
      </c>
      <c r="C25" s="226" t="n">
        <v>0.3</v>
      </c>
      <c r="D25" s="224"/>
      <c r="E25" s="224"/>
      <c r="F25" s="28" t="s">
        <v>807</v>
      </c>
      <c r="G25" s="224" t="s">
        <v>7739</v>
      </c>
      <c r="H25" s="28" t="s">
        <v>1233</v>
      </c>
      <c r="I25" s="28" t="s">
        <v>1236</v>
      </c>
      <c r="J25" s="6" t="s">
        <v>7740</v>
      </c>
      <c r="K25" s="224" t="n">
        <v>1</v>
      </c>
      <c r="L25" s="224" t="s">
        <v>6610</v>
      </c>
      <c r="M25" s="6" t="s">
        <v>7741</v>
      </c>
      <c r="N25" s="224" t="s">
        <v>7187</v>
      </c>
      <c r="O25" s="28" t="s">
        <v>6613</v>
      </c>
      <c r="P25" s="28" t="s">
        <v>620</v>
      </c>
      <c r="Q25" s="28" t="s">
        <v>7742</v>
      </c>
      <c r="R25" s="28" t="s">
        <v>620</v>
      </c>
      <c r="S25" s="28" t="s">
        <v>620</v>
      </c>
      <c r="T25" s="28" t="s">
        <v>620</v>
      </c>
      <c r="U25" s="28" t="s">
        <v>3648</v>
      </c>
      <c r="V25" s="6" t="s">
        <v>7743</v>
      </c>
      <c r="W25" s="6" t="s">
        <v>620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2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7744</v>
      </c>
      <c r="B26" s="6" t="s">
        <v>7745</v>
      </c>
      <c r="C26" s="226" t="n">
        <v>0.006</v>
      </c>
      <c r="D26" s="224"/>
      <c r="E26" s="224"/>
      <c r="F26" s="28" t="s">
        <v>807</v>
      </c>
      <c r="G26" s="224" t="s">
        <v>7746</v>
      </c>
      <c r="H26" s="28" t="s">
        <v>1233</v>
      </c>
      <c r="I26" s="28" t="s">
        <v>1236</v>
      </c>
      <c r="J26" s="6" t="s">
        <v>7740</v>
      </c>
      <c r="K26" s="224" t="n">
        <v>1</v>
      </c>
      <c r="L26" s="224" t="s">
        <v>6610</v>
      </c>
      <c r="M26" s="6" t="s">
        <v>7741</v>
      </c>
      <c r="N26" s="224" t="s">
        <v>7187</v>
      </c>
      <c r="O26" s="28" t="s">
        <v>6613</v>
      </c>
      <c r="P26" s="28" t="s">
        <v>620</v>
      </c>
      <c r="Q26" s="28" t="s">
        <v>7742</v>
      </c>
      <c r="R26" s="28" t="s">
        <v>620</v>
      </c>
      <c r="S26" s="28" t="s">
        <v>620</v>
      </c>
      <c r="T26" s="28" t="s">
        <v>620</v>
      </c>
      <c r="U26" s="28" t="s">
        <v>3648</v>
      </c>
      <c r="V26" s="6" t="s">
        <v>7747</v>
      </c>
      <c r="W26" s="6" t="s">
        <v>620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2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7748</v>
      </c>
      <c r="B27" s="6" t="s">
        <v>7749</v>
      </c>
      <c r="C27" s="226" t="n">
        <v>1.2</v>
      </c>
      <c r="D27" s="224"/>
      <c r="E27" s="224"/>
      <c r="F27" s="28" t="s">
        <v>807</v>
      </c>
      <c r="G27" s="224" t="s">
        <v>7746</v>
      </c>
      <c r="H27" s="28" t="s">
        <v>1233</v>
      </c>
      <c r="I27" s="28" t="s">
        <v>1236</v>
      </c>
      <c r="J27" s="6" t="s">
        <v>7740</v>
      </c>
      <c r="K27" s="224" t="n">
        <v>1</v>
      </c>
      <c r="L27" s="224" t="s">
        <v>6610</v>
      </c>
      <c r="M27" s="6" t="s">
        <v>7741</v>
      </c>
      <c r="N27" s="224" t="s">
        <v>7187</v>
      </c>
      <c r="O27" s="28" t="s">
        <v>6613</v>
      </c>
      <c r="P27" s="28" t="s">
        <v>620</v>
      </c>
      <c r="Q27" s="28" t="s">
        <v>7742</v>
      </c>
      <c r="R27" s="28" t="s">
        <v>620</v>
      </c>
      <c r="S27" s="28" t="s">
        <v>620</v>
      </c>
      <c r="T27" s="28" t="s">
        <v>620</v>
      </c>
      <c r="U27" s="28" t="s">
        <v>3648</v>
      </c>
      <c r="V27" s="6" t="s">
        <v>7750</v>
      </c>
      <c r="W27" s="6" t="s">
        <v>620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2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7751</v>
      </c>
      <c r="B28" s="6" t="s">
        <v>7752</v>
      </c>
      <c r="C28" s="226" t="n">
        <v>1.32</v>
      </c>
      <c r="D28" s="224"/>
      <c r="E28" s="224"/>
      <c r="F28" s="28" t="s">
        <v>807</v>
      </c>
      <c r="G28" s="224" t="s">
        <v>7746</v>
      </c>
      <c r="H28" s="28" t="s">
        <v>1238</v>
      </c>
      <c r="I28" s="28" t="s">
        <v>1236</v>
      </c>
      <c r="J28" s="6" t="s">
        <v>7740</v>
      </c>
      <c r="K28" s="224" t="n">
        <v>1</v>
      </c>
      <c r="L28" s="224" t="s">
        <v>6610</v>
      </c>
      <c r="M28" s="6" t="s">
        <v>7741</v>
      </c>
      <c r="N28" s="224" t="s">
        <v>7187</v>
      </c>
      <c r="O28" s="28" t="s">
        <v>6613</v>
      </c>
      <c r="P28" s="28" t="s">
        <v>620</v>
      </c>
      <c r="Q28" s="28" t="s">
        <v>7742</v>
      </c>
      <c r="R28" s="28" t="s">
        <v>620</v>
      </c>
      <c r="S28" s="28" t="s">
        <v>620</v>
      </c>
      <c r="T28" s="28" t="s">
        <v>620</v>
      </c>
      <c r="U28" s="28" t="s">
        <v>3648</v>
      </c>
      <c r="V28" s="6" t="s">
        <v>7753</v>
      </c>
      <c r="W28" s="6" t="s">
        <v>620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2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7754</v>
      </c>
      <c r="B29" s="6" t="s">
        <v>7755</v>
      </c>
      <c r="C29" s="226" t="n">
        <v>0.044</v>
      </c>
      <c r="D29" s="224"/>
      <c r="E29" s="224"/>
      <c r="F29" s="28" t="s">
        <v>807</v>
      </c>
      <c r="G29" s="224" t="s">
        <v>7746</v>
      </c>
      <c r="H29" s="28" t="s">
        <v>1238</v>
      </c>
      <c r="I29" s="28" t="s">
        <v>1236</v>
      </c>
      <c r="J29" s="6" t="s">
        <v>7740</v>
      </c>
      <c r="K29" s="224" t="n">
        <v>1</v>
      </c>
      <c r="L29" s="224" t="s">
        <v>6610</v>
      </c>
      <c r="M29" s="6" t="s">
        <v>7741</v>
      </c>
      <c r="N29" s="224" t="s">
        <v>7187</v>
      </c>
      <c r="O29" s="28" t="s">
        <v>6613</v>
      </c>
      <c r="P29" s="28" t="s">
        <v>620</v>
      </c>
      <c r="Q29" s="28" t="s">
        <v>7742</v>
      </c>
      <c r="R29" s="28" t="s">
        <v>620</v>
      </c>
      <c r="S29" s="28" t="s">
        <v>620</v>
      </c>
      <c r="T29" s="28" t="s">
        <v>620</v>
      </c>
      <c r="U29" s="28" t="s">
        <v>3648</v>
      </c>
      <c r="V29" s="6" t="s">
        <v>7756</v>
      </c>
      <c r="W29" s="6" t="s">
        <v>620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2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7757</v>
      </c>
      <c r="B30" s="6" t="s">
        <v>7758</v>
      </c>
      <c r="C30" s="226" t="n">
        <v>3.96</v>
      </c>
      <c r="D30" s="224"/>
      <c r="E30" s="224"/>
      <c r="F30" s="28" t="s">
        <v>807</v>
      </c>
      <c r="G30" s="224" t="s">
        <v>7746</v>
      </c>
      <c r="H30" s="28" t="s">
        <v>1238</v>
      </c>
      <c r="I30" s="28" t="s">
        <v>1236</v>
      </c>
      <c r="J30" s="6" t="s">
        <v>7740</v>
      </c>
      <c r="K30" s="224" t="n">
        <v>1</v>
      </c>
      <c r="L30" s="224" t="s">
        <v>6610</v>
      </c>
      <c r="M30" s="6" t="s">
        <v>7741</v>
      </c>
      <c r="N30" s="224" t="s">
        <v>7187</v>
      </c>
      <c r="O30" s="28" t="s">
        <v>6613</v>
      </c>
      <c r="P30" s="28" t="s">
        <v>620</v>
      </c>
      <c r="Q30" s="28" t="s">
        <v>7742</v>
      </c>
      <c r="R30" s="28" t="s">
        <v>620</v>
      </c>
      <c r="S30" s="28" t="s">
        <v>620</v>
      </c>
      <c r="T30" s="28" t="s">
        <v>620</v>
      </c>
      <c r="U30" s="28" t="s">
        <v>3648</v>
      </c>
      <c r="V30" s="6" t="s">
        <v>7759</v>
      </c>
      <c r="W30" s="6" t="s">
        <v>620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2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5064</v>
      </c>
      <c r="B31" s="6" t="s">
        <v>7760</v>
      </c>
      <c r="C31" s="226" t="n">
        <v>0.5</v>
      </c>
      <c r="D31" s="224"/>
      <c r="E31" s="224"/>
      <c r="F31" s="28" t="s">
        <v>103</v>
      </c>
      <c r="G31" s="28" t="s">
        <v>620</v>
      </c>
      <c r="H31" s="28" t="s">
        <v>1234</v>
      </c>
      <c r="I31" s="28" t="s">
        <v>1236</v>
      </c>
      <c r="J31" s="6" t="s">
        <v>7740</v>
      </c>
      <c r="K31" s="224" t="n">
        <v>1</v>
      </c>
      <c r="L31" s="224" t="s">
        <v>6610</v>
      </c>
      <c r="M31" s="6" t="s">
        <v>7741</v>
      </c>
      <c r="N31" s="224" t="s">
        <v>7187</v>
      </c>
      <c r="O31" s="28" t="s">
        <v>6613</v>
      </c>
      <c r="P31" s="28" t="s">
        <v>620</v>
      </c>
      <c r="Q31" s="28" t="s">
        <v>7742</v>
      </c>
      <c r="R31" s="28" t="s">
        <v>620</v>
      </c>
      <c r="S31" s="28" t="s">
        <v>620</v>
      </c>
      <c r="T31" s="28" t="s">
        <v>620</v>
      </c>
      <c r="U31" s="28" t="s">
        <v>3648</v>
      </c>
      <c r="V31" s="6" t="s">
        <v>7761</v>
      </c>
      <c r="W31" s="6" t="s">
        <v>620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2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7762</v>
      </c>
      <c r="B32" s="6" t="s">
        <v>7763</v>
      </c>
      <c r="C32" s="226" t="n">
        <v>35</v>
      </c>
      <c r="D32" s="224"/>
      <c r="E32" s="224"/>
      <c r="F32" s="28" t="s">
        <v>7764</v>
      </c>
      <c r="G32" s="224" t="s">
        <v>7765</v>
      </c>
      <c r="H32" s="28" t="s">
        <v>1234</v>
      </c>
      <c r="I32" s="28" t="s">
        <v>1236</v>
      </c>
      <c r="J32" s="6" t="s">
        <v>7740</v>
      </c>
      <c r="K32" s="224" t="n">
        <v>1</v>
      </c>
      <c r="L32" s="224" t="s">
        <v>6610</v>
      </c>
      <c r="M32" s="6" t="s">
        <v>7741</v>
      </c>
      <c r="N32" s="224" t="s">
        <v>7187</v>
      </c>
      <c r="O32" s="28" t="s">
        <v>6613</v>
      </c>
      <c r="P32" s="28" t="s">
        <v>620</v>
      </c>
      <c r="Q32" s="28" t="s">
        <v>7742</v>
      </c>
      <c r="R32" s="28" t="s">
        <v>620</v>
      </c>
      <c r="S32" s="28" t="s">
        <v>620</v>
      </c>
      <c r="T32" s="28" t="s">
        <v>620</v>
      </c>
      <c r="U32" s="28" t="s">
        <v>3648</v>
      </c>
      <c r="V32" s="6" t="s">
        <v>7766</v>
      </c>
      <c r="W32" s="19" t="s">
        <v>7767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2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7768</v>
      </c>
      <c r="B33" s="6" t="s">
        <v>7769</v>
      </c>
      <c r="C33" s="226" t="n">
        <v>1.4</v>
      </c>
      <c r="D33" s="224"/>
      <c r="E33" s="224"/>
      <c r="F33" s="28" t="s">
        <v>807</v>
      </c>
      <c r="G33" s="28" t="s">
        <v>620</v>
      </c>
      <c r="H33" s="28" t="s">
        <v>1240</v>
      </c>
      <c r="I33" s="28" t="s">
        <v>1236</v>
      </c>
      <c r="J33" s="6" t="s">
        <v>7770</v>
      </c>
      <c r="K33" s="224" t="n">
        <v>1</v>
      </c>
      <c r="L33" s="224" t="s">
        <v>6610</v>
      </c>
      <c r="M33" s="6" t="s">
        <v>7771</v>
      </c>
      <c r="N33" s="224" t="s">
        <v>7187</v>
      </c>
      <c r="O33" s="28" t="s">
        <v>6613</v>
      </c>
      <c r="P33" s="28" t="s">
        <v>620</v>
      </c>
      <c r="Q33" s="28" t="s">
        <v>7772</v>
      </c>
      <c r="R33" s="28" t="s">
        <v>620</v>
      </c>
      <c r="S33" s="28" t="s">
        <v>620</v>
      </c>
      <c r="T33" s="28" t="s">
        <v>620</v>
      </c>
      <c r="U33" s="28" t="s">
        <v>7773</v>
      </c>
      <c r="V33" s="6" t="s">
        <v>7774</v>
      </c>
      <c r="W33" s="6" t="s">
        <v>620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2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7775</v>
      </c>
      <c r="B34" s="6" t="s">
        <v>7776</v>
      </c>
      <c r="C34" s="226" t="n">
        <v>0.26</v>
      </c>
      <c r="D34" s="224"/>
      <c r="E34" s="224"/>
      <c r="F34" s="28" t="s">
        <v>807</v>
      </c>
      <c r="G34" s="28" t="s">
        <v>620</v>
      </c>
      <c r="H34" s="28" t="s">
        <v>1240</v>
      </c>
      <c r="I34" s="28" t="s">
        <v>1236</v>
      </c>
      <c r="J34" s="6" t="s">
        <v>7770</v>
      </c>
      <c r="K34" s="224" t="n">
        <v>1</v>
      </c>
      <c r="L34" s="224" t="s">
        <v>6610</v>
      </c>
      <c r="M34" s="6" t="s">
        <v>7771</v>
      </c>
      <c r="N34" s="224" t="s">
        <v>7187</v>
      </c>
      <c r="O34" s="28" t="s">
        <v>6613</v>
      </c>
      <c r="P34" s="28" t="s">
        <v>620</v>
      </c>
      <c r="Q34" s="28" t="s">
        <v>7772</v>
      </c>
      <c r="R34" s="28" t="s">
        <v>620</v>
      </c>
      <c r="S34" s="28" t="s">
        <v>620</v>
      </c>
      <c r="T34" s="28" t="s">
        <v>620</v>
      </c>
      <c r="U34" s="28" t="s">
        <v>7773</v>
      </c>
      <c r="V34" s="6" t="s">
        <v>7777</v>
      </c>
      <c r="W34" s="6" t="s">
        <v>620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2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7778</v>
      </c>
      <c r="B35" s="6" t="s">
        <v>7779</v>
      </c>
      <c r="C35" s="226" t="n">
        <v>4.4</v>
      </c>
      <c r="D35" s="224"/>
      <c r="E35" s="224"/>
      <c r="F35" s="28" t="s">
        <v>807</v>
      </c>
      <c r="G35" s="28" t="s">
        <v>620</v>
      </c>
      <c r="H35" s="28" t="s">
        <v>1240</v>
      </c>
      <c r="I35" s="28" t="s">
        <v>1236</v>
      </c>
      <c r="J35" s="6" t="s">
        <v>7770</v>
      </c>
      <c r="K35" s="224" t="n">
        <v>1</v>
      </c>
      <c r="L35" s="224" t="s">
        <v>6610</v>
      </c>
      <c r="M35" s="6" t="s">
        <v>7771</v>
      </c>
      <c r="N35" s="224" t="s">
        <v>7187</v>
      </c>
      <c r="O35" s="28" t="s">
        <v>6613</v>
      </c>
      <c r="P35" s="28" t="s">
        <v>620</v>
      </c>
      <c r="Q35" s="28" t="s">
        <v>7772</v>
      </c>
      <c r="R35" s="28" t="s">
        <v>620</v>
      </c>
      <c r="S35" s="28" t="s">
        <v>620</v>
      </c>
      <c r="T35" s="28" t="s">
        <v>620</v>
      </c>
      <c r="U35" s="28" t="s">
        <v>7773</v>
      </c>
      <c r="V35" s="6" t="s">
        <v>7780</v>
      </c>
      <c r="W35" s="6" t="s">
        <v>620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2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7781</v>
      </c>
      <c r="B36" s="6" t="s">
        <v>7782</v>
      </c>
      <c r="C36" s="226" t="n">
        <v>0.15</v>
      </c>
      <c r="D36" s="224"/>
      <c r="E36" s="224"/>
      <c r="F36" s="28" t="s">
        <v>807</v>
      </c>
      <c r="G36" s="28" t="s">
        <v>620</v>
      </c>
      <c r="H36" s="28" t="s">
        <v>1244</v>
      </c>
      <c r="I36" s="28" t="s">
        <v>1236</v>
      </c>
      <c r="J36" s="6" t="s">
        <v>7770</v>
      </c>
      <c r="K36" s="224" t="n">
        <v>1</v>
      </c>
      <c r="L36" s="224" t="s">
        <v>6610</v>
      </c>
      <c r="M36" s="6" t="s">
        <v>7771</v>
      </c>
      <c r="N36" s="224" t="s">
        <v>7187</v>
      </c>
      <c r="O36" s="28" t="s">
        <v>6613</v>
      </c>
      <c r="P36" s="28" t="s">
        <v>620</v>
      </c>
      <c r="Q36" s="28" t="s">
        <v>7772</v>
      </c>
      <c r="R36" s="28" t="s">
        <v>620</v>
      </c>
      <c r="S36" s="28" t="s">
        <v>620</v>
      </c>
      <c r="T36" s="28" t="s">
        <v>620</v>
      </c>
      <c r="U36" s="28" t="s">
        <v>7773</v>
      </c>
      <c r="V36" s="6" t="s">
        <v>7783</v>
      </c>
      <c r="W36" s="6" t="s">
        <v>620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2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7784</v>
      </c>
      <c r="B37" s="6" t="s">
        <v>7785</v>
      </c>
      <c r="C37" s="226" t="n">
        <v>0.03</v>
      </c>
      <c r="D37" s="224"/>
      <c r="E37" s="224"/>
      <c r="F37" s="28" t="s">
        <v>807</v>
      </c>
      <c r="G37" s="28" t="s">
        <v>620</v>
      </c>
      <c r="H37" s="28" t="s">
        <v>1244</v>
      </c>
      <c r="I37" s="28" t="s">
        <v>1236</v>
      </c>
      <c r="J37" s="6" t="s">
        <v>7770</v>
      </c>
      <c r="K37" s="224" t="n">
        <v>1</v>
      </c>
      <c r="L37" s="224" t="s">
        <v>6610</v>
      </c>
      <c r="M37" s="6" t="s">
        <v>7771</v>
      </c>
      <c r="N37" s="224" t="s">
        <v>7187</v>
      </c>
      <c r="O37" s="28" t="s">
        <v>6613</v>
      </c>
      <c r="P37" s="28" t="s">
        <v>620</v>
      </c>
      <c r="Q37" s="28" t="s">
        <v>7772</v>
      </c>
      <c r="R37" s="28" t="s">
        <v>620</v>
      </c>
      <c r="S37" s="28" t="s">
        <v>620</v>
      </c>
      <c r="T37" s="28" t="s">
        <v>620</v>
      </c>
      <c r="U37" s="28" t="s">
        <v>7773</v>
      </c>
      <c r="V37" s="6" t="s">
        <v>7786</v>
      </c>
      <c r="W37" s="6" t="s">
        <v>620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2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7787</v>
      </c>
      <c r="B38" s="6" t="s">
        <v>7788</v>
      </c>
      <c r="C38" s="226" t="n">
        <v>0.5</v>
      </c>
      <c r="D38" s="224"/>
      <c r="E38" s="224"/>
      <c r="F38" s="28" t="s">
        <v>807</v>
      </c>
      <c r="G38" s="28" t="s">
        <v>620</v>
      </c>
      <c r="H38" s="28" t="s">
        <v>1244</v>
      </c>
      <c r="I38" s="28" t="s">
        <v>1236</v>
      </c>
      <c r="J38" s="6" t="s">
        <v>7770</v>
      </c>
      <c r="K38" s="224" t="n">
        <v>1</v>
      </c>
      <c r="L38" s="224" t="s">
        <v>6610</v>
      </c>
      <c r="M38" s="6" t="s">
        <v>7771</v>
      </c>
      <c r="N38" s="224" t="s">
        <v>7187</v>
      </c>
      <c r="O38" s="28" t="s">
        <v>6613</v>
      </c>
      <c r="P38" s="28" t="s">
        <v>620</v>
      </c>
      <c r="Q38" s="28" t="s">
        <v>7772</v>
      </c>
      <c r="R38" s="28" t="s">
        <v>620</v>
      </c>
      <c r="S38" s="28" t="s">
        <v>620</v>
      </c>
      <c r="T38" s="28" t="s">
        <v>620</v>
      </c>
      <c r="U38" s="28" t="s">
        <v>7773</v>
      </c>
      <c r="V38" s="6" t="s">
        <v>7789</v>
      </c>
      <c r="W38" s="6" t="s">
        <v>620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2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7790</v>
      </c>
      <c r="B39" s="6" t="s">
        <v>7791</v>
      </c>
      <c r="C39" s="226" t="n">
        <v>3</v>
      </c>
      <c r="D39" s="224"/>
      <c r="E39" s="224"/>
      <c r="F39" s="28" t="s">
        <v>807</v>
      </c>
      <c r="G39" s="28" t="s">
        <v>620</v>
      </c>
      <c r="H39" s="28" t="s">
        <v>1250</v>
      </c>
      <c r="I39" s="28" t="s">
        <v>7719</v>
      </c>
      <c r="J39" s="6" t="s">
        <v>7792</v>
      </c>
      <c r="K39" s="224" t="n">
        <v>2</v>
      </c>
      <c r="L39" s="224" t="s">
        <v>6610</v>
      </c>
      <c r="M39" s="6" t="s">
        <v>7793</v>
      </c>
      <c r="N39" s="224" t="s">
        <v>6623</v>
      </c>
      <c r="O39" s="28" t="s">
        <v>6613</v>
      </c>
      <c r="P39" s="28" t="s">
        <v>620</v>
      </c>
      <c r="Q39" s="28" t="s">
        <v>7794</v>
      </c>
      <c r="R39" s="28" t="s">
        <v>620</v>
      </c>
      <c r="S39" s="28" t="s">
        <v>620</v>
      </c>
      <c r="T39" s="28" t="s">
        <v>620</v>
      </c>
      <c r="U39" s="28" t="s">
        <v>7795</v>
      </c>
      <c r="V39" s="6" t="s">
        <v>7796</v>
      </c>
      <c r="W39" s="6" t="s">
        <v>620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2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7797</v>
      </c>
      <c r="B40" s="6" t="s">
        <v>7798</v>
      </c>
      <c r="C40" s="226" t="n">
        <v>0.3</v>
      </c>
      <c r="D40" s="224"/>
      <c r="E40" s="224"/>
      <c r="F40" s="28" t="s">
        <v>807</v>
      </c>
      <c r="G40" s="28" t="s">
        <v>620</v>
      </c>
      <c r="H40" s="28" t="s">
        <v>1250</v>
      </c>
      <c r="I40" s="28" t="s">
        <v>7719</v>
      </c>
      <c r="J40" s="6" t="s">
        <v>7792</v>
      </c>
      <c r="K40" s="224" t="n">
        <v>2</v>
      </c>
      <c r="L40" s="224" t="s">
        <v>6610</v>
      </c>
      <c r="M40" s="6" t="s">
        <v>7793</v>
      </c>
      <c r="N40" s="224" t="s">
        <v>6623</v>
      </c>
      <c r="O40" s="28" t="s">
        <v>6613</v>
      </c>
      <c r="P40" s="28" t="s">
        <v>620</v>
      </c>
      <c r="Q40" s="28" t="s">
        <v>7794</v>
      </c>
      <c r="R40" s="28" t="s">
        <v>620</v>
      </c>
      <c r="S40" s="28" t="s">
        <v>620</v>
      </c>
      <c r="T40" s="28" t="s">
        <v>620</v>
      </c>
      <c r="U40" s="28" t="s">
        <v>7795</v>
      </c>
      <c r="V40" s="6" t="s">
        <v>7799</v>
      </c>
      <c r="W40" s="6" t="s">
        <v>620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2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7800</v>
      </c>
      <c r="B41" s="6" t="s">
        <v>7801</v>
      </c>
      <c r="C41" s="226" t="n">
        <v>15</v>
      </c>
      <c r="D41" s="224"/>
      <c r="E41" s="224"/>
      <c r="F41" s="28" t="s">
        <v>807</v>
      </c>
      <c r="G41" s="28" t="s">
        <v>620</v>
      </c>
      <c r="H41" s="28" t="s">
        <v>1250</v>
      </c>
      <c r="I41" s="28" t="s">
        <v>7719</v>
      </c>
      <c r="J41" s="6" t="s">
        <v>7792</v>
      </c>
      <c r="K41" s="224" t="n">
        <v>2</v>
      </c>
      <c r="L41" s="224" t="s">
        <v>6610</v>
      </c>
      <c r="M41" s="6" t="s">
        <v>7793</v>
      </c>
      <c r="N41" s="224" t="s">
        <v>6623</v>
      </c>
      <c r="O41" s="28" t="s">
        <v>6613</v>
      </c>
      <c r="P41" s="28" t="s">
        <v>620</v>
      </c>
      <c r="Q41" s="28" t="s">
        <v>7794</v>
      </c>
      <c r="R41" s="28" t="s">
        <v>620</v>
      </c>
      <c r="S41" s="28" t="s">
        <v>620</v>
      </c>
      <c r="T41" s="28" t="s">
        <v>620</v>
      </c>
      <c r="U41" s="28" t="s">
        <v>7795</v>
      </c>
      <c r="V41" s="6" t="s">
        <v>7802</v>
      </c>
      <c r="W41" s="6" t="s">
        <v>620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2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7803</v>
      </c>
      <c r="B42" s="6" t="s">
        <v>7804</v>
      </c>
      <c r="C42" s="226" t="n">
        <v>2</v>
      </c>
      <c r="D42" s="224"/>
      <c r="E42" s="224"/>
      <c r="F42" s="28" t="s">
        <v>807</v>
      </c>
      <c r="G42" s="224" t="s">
        <v>7805</v>
      </c>
      <c r="H42" s="28" t="s">
        <v>1246</v>
      </c>
      <c r="I42" s="28" t="s">
        <v>1224</v>
      </c>
      <c r="J42" s="6" t="s">
        <v>7792</v>
      </c>
      <c r="K42" s="224" t="n">
        <v>2</v>
      </c>
      <c r="L42" s="224" t="s">
        <v>6610</v>
      </c>
      <c r="M42" s="6" t="s">
        <v>7793</v>
      </c>
      <c r="N42" s="224" t="s">
        <v>6623</v>
      </c>
      <c r="O42" s="28" t="s">
        <v>6613</v>
      </c>
      <c r="P42" s="28" t="s">
        <v>620</v>
      </c>
      <c r="Q42" s="28" t="s">
        <v>7794</v>
      </c>
      <c r="R42" s="28" t="s">
        <v>620</v>
      </c>
      <c r="S42" s="28" t="s">
        <v>620</v>
      </c>
      <c r="T42" s="28" t="s">
        <v>620</v>
      </c>
      <c r="U42" s="28" t="s">
        <v>7795</v>
      </c>
      <c r="V42" s="6" t="s">
        <v>7806</v>
      </c>
      <c r="W42" s="6" t="s">
        <v>620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2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7807</v>
      </c>
      <c r="B43" s="6" t="s">
        <v>7808</v>
      </c>
      <c r="C43" s="226" t="n">
        <v>0.25</v>
      </c>
      <c r="D43" s="224"/>
      <c r="E43" s="224"/>
      <c r="F43" s="28" t="s">
        <v>807</v>
      </c>
      <c r="G43" s="224" t="s">
        <v>7805</v>
      </c>
      <c r="H43" s="28" t="s">
        <v>1246</v>
      </c>
      <c r="I43" s="28" t="s">
        <v>1224</v>
      </c>
      <c r="J43" s="6" t="s">
        <v>7792</v>
      </c>
      <c r="K43" s="224" t="n">
        <v>2</v>
      </c>
      <c r="L43" s="224" t="s">
        <v>6610</v>
      </c>
      <c r="M43" s="6" t="s">
        <v>7793</v>
      </c>
      <c r="N43" s="224" t="s">
        <v>6623</v>
      </c>
      <c r="O43" s="28" t="s">
        <v>6613</v>
      </c>
      <c r="P43" s="28" t="s">
        <v>620</v>
      </c>
      <c r="Q43" s="28" t="s">
        <v>7794</v>
      </c>
      <c r="R43" s="28" t="s">
        <v>620</v>
      </c>
      <c r="S43" s="28" t="s">
        <v>620</v>
      </c>
      <c r="T43" s="28" t="s">
        <v>620</v>
      </c>
      <c r="U43" s="28" t="s">
        <v>7795</v>
      </c>
      <c r="V43" s="6" t="s">
        <v>7809</v>
      </c>
      <c r="W43" s="6" t="s">
        <v>620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2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7810</v>
      </c>
      <c r="B44" s="6" t="s">
        <v>7811</v>
      </c>
      <c r="C44" s="226" t="n">
        <v>6</v>
      </c>
      <c r="D44" s="224"/>
      <c r="E44" s="224"/>
      <c r="F44" s="28" t="s">
        <v>807</v>
      </c>
      <c r="G44" s="224" t="s">
        <v>7805</v>
      </c>
      <c r="H44" s="28" t="s">
        <v>1246</v>
      </c>
      <c r="I44" s="28" t="s">
        <v>1224</v>
      </c>
      <c r="J44" s="6" t="s">
        <v>7792</v>
      </c>
      <c r="K44" s="224" t="n">
        <v>2</v>
      </c>
      <c r="L44" s="224" t="s">
        <v>6610</v>
      </c>
      <c r="M44" s="6" t="s">
        <v>7793</v>
      </c>
      <c r="N44" s="224" t="s">
        <v>6623</v>
      </c>
      <c r="O44" s="28" t="s">
        <v>6613</v>
      </c>
      <c r="P44" s="28" t="s">
        <v>620</v>
      </c>
      <c r="Q44" s="28" t="s">
        <v>7794</v>
      </c>
      <c r="R44" s="28" t="s">
        <v>620</v>
      </c>
      <c r="S44" s="28" t="s">
        <v>620</v>
      </c>
      <c r="T44" s="28" t="s">
        <v>620</v>
      </c>
      <c r="U44" s="28" t="s">
        <v>7795</v>
      </c>
      <c r="V44" s="6" t="s">
        <v>7812</v>
      </c>
      <c r="W44" s="6" t="s">
        <v>620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2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7813</v>
      </c>
      <c r="B45" s="6" t="s">
        <v>7814</v>
      </c>
      <c r="C45" s="226" t="n">
        <v>2.5</v>
      </c>
      <c r="D45" s="224"/>
      <c r="E45" s="224"/>
      <c r="F45" s="28" t="s">
        <v>807</v>
      </c>
      <c r="G45" s="224" t="s">
        <v>7815</v>
      </c>
      <c r="H45" s="28" t="s">
        <v>1246</v>
      </c>
      <c r="I45" s="28" t="s">
        <v>1224</v>
      </c>
      <c r="J45" s="6" t="s">
        <v>7792</v>
      </c>
      <c r="K45" s="224" t="n">
        <v>2</v>
      </c>
      <c r="L45" s="224" t="s">
        <v>6610</v>
      </c>
      <c r="M45" s="6" t="s">
        <v>7793</v>
      </c>
      <c r="N45" s="224" t="s">
        <v>6623</v>
      </c>
      <c r="O45" s="28" t="s">
        <v>6659</v>
      </c>
      <c r="P45" s="28" t="s">
        <v>620</v>
      </c>
      <c r="Q45" s="28" t="s">
        <v>7794</v>
      </c>
      <c r="R45" s="28" t="s">
        <v>620</v>
      </c>
      <c r="S45" s="28" t="s">
        <v>620</v>
      </c>
      <c r="T45" s="28" t="s">
        <v>620</v>
      </c>
      <c r="U45" s="28" t="s">
        <v>7795</v>
      </c>
      <c r="V45" s="6" t="s">
        <v>620</v>
      </c>
      <c r="W45" s="19" t="s">
        <v>7816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2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7817</v>
      </c>
      <c r="B46" s="6" t="s">
        <v>7818</v>
      </c>
      <c r="C46" s="226" t="n">
        <v>7.5</v>
      </c>
      <c r="D46" s="224"/>
      <c r="E46" s="224"/>
      <c r="F46" s="28" t="s">
        <v>807</v>
      </c>
      <c r="G46" s="224" t="s">
        <v>7815</v>
      </c>
      <c r="H46" s="28" t="s">
        <v>1246</v>
      </c>
      <c r="I46" s="28" t="s">
        <v>1224</v>
      </c>
      <c r="J46" s="6" t="s">
        <v>7792</v>
      </c>
      <c r="K46" s="224" t="n">
        <v>2</v>
      </c>
      <c r="L46" s="224" t="s">
        <v>6610</v>
      </c>
      <c r="M46" s="6" t="s">
        <v>7793</v>
      </c>
      <c r="N46" s="224" t="s">
        <v>6623</v>
      </c>
      <c r="O46" s="28" t="s">
        <v>6659</v>
      </c>
      <c r="P46" s="28" t="s">
        <v>620</v>
      </c>
      <c r="Q46" s="28" t="s">
        <v>7794</v>
      </c>
      <c r="R46" s="28" t="s">
        <v>620</v>
      </c>
      <c r="S46" s="28" t="s">
        <v>620</v>
      </c>
      <c r="T46" s="28" t="s">
        <v>620</v>
      </c>
      <c r="U46" s="28" t="s">
        <v>7795</v>
      </c>
      <c r="V46" s="6" t="s">
        <v>620</v>
      </c>
      <c r="W46" s="19" t="s">
        <v>7816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2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7819</v>
      </c>
      <c r="B47" s="6" t="s">
        <v>7820</v>
      </c>
      <c r="C47" s="226" t="n">
        <v>0.3</v>
      </c>
      <c r="D47" s="224"/>
      <c r="E47" s="224"/>
      <c r="F47" s="28" t="s">
        <v>807</v>
      </c>
      <c r="G47" s="28" t="s">
        <v>7821</v>
      </c>
      <c r="H47" s="28" t="s">
        <v>1255</v>
      </c>
      <c r="I47" s="28" t="s">
        <v>1227</v>
      </c>
      <c r="J47" s="6" t="s">
        <v>7792</v>
      </c>
      <c r="K47" s="224" t="n">
        <v>2</v>
      </c>
      <c r="L47" s="224" t="s">
        <v>6610</v>
      </c>
      <c r="M47" s="6" t="s">
        <v>7793</v>
      </c>
      <c r="N47" s="224" t="s">
        <v>6623</v>
      </c>
      <c r="O47" s="28" t="s">
        <v>6613</v>
      </c>
      <c r="P47" s="28" t="s">
        <v>620</v>
      </c>
      <c r="Q47" s="28" t="s">
        <v>7794</v>
      </c>
      <c r="R47" s="28" t="s">
        <v>620</v>
      </c>
      <c r="S47" s="28" t="s">
        <v>620</v>
      </c>
      <c r="T47" s="28" t="s">
        <v>620</v>
      </c>
      <c r="U47" s="28" t="s">
        <v>7795</v>
      </c>
      <c r="V47" s="6" t="s">
        <v>7822</v>
      </c>
      <c r="W47" s="6" t="s">
        <v>620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2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7823</v>
      </c>
      <c r="B48" s="6" t="s">
        <v>7824</v>
      </c>
      <c r="C48" s="226" t="n">
        <v>1.2</v>
      </c>
      <c r="D48" s="224"/>
      <c r="E48" s="224"/>
      <c r="F48" s="28" t="s">
        <v>807</v>
      </c>
      <c r="G48" s="28" t="s">
        <v>7821</v>
      </c>
      <c r="H48" s="28" t="s">
        <v>1255</v>
      </c>
      <c r="I48" s="28" t="s">
        <v>1227</v>
      </c>
      <c r="J48" s="6" t="s">
        <v>7792</v>
      </c>
      <c r="K48" s="224" t="n">
        <v>2</v>
      </c>
      <c r="L48" s="224" t="s">
        <v>6610</v>
      </c>
      <c r="M48" s="6" t="s">
        <v>7793</v>
      </c>
      <c r="N48" s="224" t="s">
        <v>6623</v>
      </c>
      <c r="O48" s="28" t="s">
        <v>6613</v>
      </c>
      <c r="P48" s="28" t="s">
        <v>620</v>
      </c>
      <c r="Q48" s="28" t="s">
        <v>7794</v>
      </c>
      <c r="R48" s="28" t="s">
        <v>620</v>
      </c>
      <c r="S48" s="28" t="s">
        <v>620</v>
      </c>
      <c r="T48" s="28" t="s">
        <v>620</v>
      </c>
      <c r="U48" s="28" t="s">
        <v>7795</v>
      </c>
      <c r="V48" s="6" t="s">
        <v>7825</v>
      </c>
      <c r="W48" s="6" t="s">
        <v>620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2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7826</v>
      </c>
    </row>
    <row r="2" customFormat="false" ht="15" hidden="false" customHeight="true" outlineLevel="0" collapsed="false">
      <c r="A2" s="233" t="s">
        <v>6584</v>
      </c>
    </row>
    <row r="3" customFormat="false" ht="15" hidden="false" customHeight="true" outlineLevel="0" collapsed="false">
      <c r="A3" s="233" t="s">
        <v>6585</v>
      </c>
    </row>
    <row r="4" customFormat="false" ht="43.5" hidden="false" customHeight="true" outlineLevel="0" collapsed="false">
      <c r="A4" s="84" t="s">
        <v>6586</v>
      </c>
      <c r="B4" s="222" t="s">
        <v>2401</v>
      </c>
      <c r="C4" s="222" t="s">
        <v>6587</v>
      </c>
      <c r="D4" s="222" t="s">
        <v>1150</v>
      </c>
      <c r="E4" s="222" t="s">
        <v>1151</v>
      </c>
      <c r="F4" s="222" t="s">
        <v>83</v>
      </c>
      <c r="G4" s="222" t="s">
        <v>472</v>
      </c>
      <c r="H4" s="222" t="s">
        <v>6588</v>
      </c>
      <c r="I4" s="222" t="s">
        <v>5819</v>
      </c>
      <c r="J4" s="222" t="s">
        <v>5822</v>
      </c>
      <c r="K4" s="222" t="s">
        <v>5993</v>
      </c>
      <c r="L4" s="222" t="s">
        <v>6589</v>
      </c>
      <c r="M4" s="222" t="s">
        <v>6590</v>
      </c>
      <c r="N4" s="222" t="s">
        <v>6591</v>
      </c>
      <c r="O4" s="222" t="s">
        <v>607</v>
      </c>
      <c r="P4" s="222" t="s">
        <v>6592</v>
      </c>
      <c r="Q4" s="84" t="s">
        <v>6593</v>
      </c>
      <c r="R4" s="222" t="s">
        <v>6594</v>
      </c>
      <c r="S4" s="222" t="s">
        <v>6595</v>
      </c>
      <c r="T4" s="84" t="s">
        <v>6596</v>
      </c>
      <c r="U4" s="222" t="s">
        <v>6597</v>
      </c>
      <c r="V4" s="222" t="s">
        <v>6598</v>
      </c>
      <c r="W4" s="222" t="s">
        <v>6599</v>
      </c>
      <c r="X4" s="222" t="s">
        <v>6600</v>
      </c>
      <c r="Y4" s="222" t="s">
        <v>6601</v>
      </c>
      <c r="Z4" s="222" t="s">
        <v>6602</v>
      </c>
      <c r="AH4" s="83" t="s">
        <v>6603</v>
      </c>
    </row>
    <row r="5" customFormat="false" ht="29.25" hidden="false" customHeight="true" outlineLevel="0" collapsed="false">
      <c r="A5" s="28" t="s">
        <v>7827</v>
      </c>
      <c r="B5" s="6" t="s">
        <v>7828</v>
      </c>
      <c r="C5" s="226" t="n">
        <v>53</v>
      </c>
      <c r="D5" s="224"/>
      <c r="E5" s="224"/>
      <c r="F5" s="224" t="s">
        <v>1667</v>
      </c>
      <c r="G5" s="28" t="s">
        <v>1220</v>
      </c>
      <c r="H5" s="28" t="s">
        <v>1219</v>
      </c>
      <c r="I5" s="28" t="s">
        <v>1224</v>
      </c>
      <c r="J5" s="6" t="s">
        <v>7829</v>
      </c>
      <c r="K5" s="224" t="n">
        <v>2</v>
      </c>
      <c r="L5" s="224" t="s">
        <v>6717</v>
      </c>
      <c r="M5" s="6" t="s">
        <v>7830</v>
      </c>
      <c r="N5" s="224" t="s">
        <v>6623</v>
      </c>
      <c r="O5" s="28" t="s">
        <v>6613</v>
      </c>
      <c r="P5" s="28" t="s">
        <v>620</v>
      </c>
      <c r="Q5" s="28" t="s">
        <v>7831</v>
      </c>
      <c r="R5" s="28" t="s">
        <v>620</v>
      </c>
      <c r="S5" s="28" t="s">
        <v>620</v>
      </c>
      <c r="T5" s="28" t="s">
        <v>620</v>
      </c>
      <c r="U5" s="28" t="s">
        <v>7832</v>
      </c>
      <c r="V5" s="6" t="s">
        <v>7833</v>
      </c>
      <c r="W5" s="6" t="s">
        <v>620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7834</v>
      </c>
      <c r="B6" s="6" t="s">
        <v>7835</v>
      </c>
      <c r="C6" s="226" t="n">
        <v>53</v>
      </c>
      <c r="D6" s="224"/>
      <c r="E6" s="224"/>
      <c r="F6" s="224" t="s">
        <v>1667</v>
      </c>
      <c r="G6" s="28" t="s">
        <v>1220</v>
      </c>
      <c r="H6" s="28" t="s">
        <v>1222</v>
      </c>
      <c r="I6" s="28" t="s">
        <v>1224</v>
      </c>
      <c r="J6" s="6" t="s">
        <v>7829</v>
      </c>
      <c r="K6" s="224" t="n">
        <v>2</v>
      </c>
      <c r="L6" s="224" t="s">
        <v>6717</v>
      </c>
      <c r="M6" s="6" t="s">
        <v>7830</v>
      </c>
      <c r="N6" s="224" t="s">
        <v>6623</v>
      </c>
      <c r="O6" s="28" t="s">
        <v>6613</v>
      </c>
      <c r="P6" s="28" t="s">
        <v>620</v>
      </c>
      <c r="Q6" s="28" t="s">
        <v>7831</v>
      </c>
      <c r="R6" s="28" t="s">
        <v>620</v>
      </c>
      <c r="S6" s="28" t="s">
        <v>620</v>
      </c>
      <c r="T6" s="28" t="s">
        <v>620</v>
      </c>
      <c r="U6" s="28" t="s">
        <v>7832</v>
      </c>
      <c r="V6" s="6" t="s">
        <v>7836</v>
      </c>
      <c r="W6" s="6" t="s">
        <v>620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7837</v>
      </c>
      <c r="B7" s="6" t="s">
        <v>7838</v>
      </c>
      <c r="C7" s="226" t="n">
        <v>51</v>
      </c>
      <c r="D7" s="224"/>
      <c r="E7" s="224"/>
      <c r="F7" s="224" t="s">
        <v>1667</v>
      </c>
      <c r="G7" s="28" t="s">
        <v>1220</v>
      </c>
      <c r="H7" s="28" t="s">
        <v>1226</v>
      </c>
      <c r="I7" s="28" t="s">
        <v>1224</v>
      </c>
      <c r="J7" s="6" t="s">
        <v>7829</v>
      </c>
      <c r="K7" s="224" t="n">
        <v>2</v>
      </c>
      <c r="L7" s="224" t="s">
        <v>6717</v>
      </c>
      <c r="M7" s="6" t="s">
        <v>7830</v>
      </c>
      <c r="N7" s="224" t="s">
        <v>6623</v>
      </c>
      <c r="O7" s="28" t="s">
        <v>6613</v>
      </c>
      <c r="P7" s="28" t="s">
        <v>620</v>
      </c>
      <c r="Q7" s="28" t="s">
        <v>7831</v>
      </c>
      <c r="R7" s="28" t="s">
        <v>620</v>
      </c>
      <c r="S7" s="28" t="s">
        <v>620</v>
      </c>
      <c r="T7" s="28" t="s">
        <v>620</v>
      </c>
      <c r="U7" s="28" t="s">
        <v>7832</v>
      </c>
      <c r="V7" s="6" t="s">
        <v>7839</v>
      </c>
      <c r="W7" s="6" t="s">
        <v>620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7840</v>
      </c>
      <c r="B8" s="6" t="s">
        <v>7841</v>
      </c>
      <c r="C8" s="226" t="n">
        <v>47</v>
      </c>
      <c r="D8" s="224"/>
      <c r="E8" s="224"/>
      <c r="F8" s="224" t="s">
        <v>1667</v>
      </c>
      <c r="G8" s="28" t="s">
        <v>1220</v>
      </c>
      <c r="H8" s="28" t="s">
        <v>7456</v>
      </c>
      <c r="I8" s="28" t="s">
        <v>1224</v>
      </c>
      <c r="J8" s="6" t="s">
        <v>7829</v>
      </c>
      <c r="K8" s="224" t="n">
        <v>2</v>
      </c>
      <c r="L8" s="224" t="s">
        <v>6717</v>
      </c>
      <c r="M8" s="6" t="s">
        <v>7830</v>
      </c>
      <c r="N8" s="224" t="s">
        <v>6623</v>
      </c>
      <c r="O8" s="28" t="s">
        <v>6613</v>
      </c>
      <c r="P8" s="28" t="s">
        <v>620</v>
      </c>
      <c r="Q8" s="28" t="s">
        <v>7831</v>
      </c>
      <c r="R8" s="28" t="s">
        <v>620</v>
      </c>
      <c r="S8" s="28" t="s">
        <v>620</v>
      </c>
      <c r="T8" s="28" t="s">
        <v>620</v>
      </c>
      <c r="U8" s="28" t="s">
        <v>7832</v>
      </c>
      <c r="V8" s="6" t="s">
        <v>620</v>
      </c>
      <c r="W8" s="6" t="s">
        <v>620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7842</v>
      </c>
      <c r="B9" s="6" t="s">
        <v>7843</v>
      </c>
      <c r="C9" s="226" t="n">
        <v>42</v>
      </c>
      <c r="D9" s="224"/>
      <c r="E9" s="224"/>
      <c r="F9" s="224" t="s">
        <v>1667</v>
      </c>
      <c r="G9" s="28" t="s">
        <v>1220</v>
      </c>
      <c r="H9" s="28" t="s">
        <v>1244</v>
      </c>
      <c r="I9" s="28" t="s">
        <v>1224</v>
      </c>
      <c r="J9" s="6" t="s">
        <v>7829</v>
      </c>
      <c r="K9" s="224" t="n">
        <v>2</v>
      </c>
      <c r="L9" s="224" t="s">
        <v>6717</v>
      </c>
      <c r="M9" s="6" t="s">
        <v>7830</v>
      </c>
      <c r="N9" s="224" t="s">
        <v>6623</v>
      </c>
      <c r="O9" s="28" t="s">
        <v>6613</v>
      </c>
      <c r="P9" s="28" t="s">
        <v>620</v>
      </c>
      <c r="Q9" s="28" t="s">
        <v>7831</v>
      </c>
      <c r="R9" s="28" t="s">
        <v>620</v>
      </c>
      <c r="S9" s="28" t="s">
        <v>620</v>
      </c>
      <c r="T9" s="28" t="s">
        <v>620</v>
      </c>
      <c r="U9" s="28" t="s">
        <v>7832</v>
      </c>
      <c r="V9" s="6" t="s">
        <v>7844</v>
      </c>
      <c r="W9" s="6" t="s">
        <v>620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5089</v>
      </c>
      <c r="B10" s="6" t="s">
        <v>7845</v>
      </c>
      <c r="C10" s="226" t="n">
        <v>40</v>
      </c>
      <c r="D10" s="224"/>
      <c r="E10" s="224"/>
      <c r="F10" s="224" t="s">
        <v>1667</v>
      </c>
      <c r="G10" s="28" t="s">
        <v>1220</v>
      </c>
      <c r="H10" s="28" t="s">
        <v>7846</v>
      </c>
      <c r="I10" s="28" t="s">
        <v>1224</v>
      </c>
      <c r="J10" s="6" t="s">
        <v>7829</v>
      </c>
      <c r="K10" s="224" t="n">
        <v>2</v>
      </c>
      <c r="L10" s="224" t="s">
        <v>6717</v>
      </c>
      <c r="M10" s="6" t="s">
        <v>7830</v>
      </c>
      <c r="N10" s="224" t="s">
        <v>6623</v>
      </c>
      <c r="O10" s="28" t="s">
        <v>6613</v>
      </c>
      <c r="P10" s="28" t="s">
        <v>620</v>
      </c>
      <c r="Q10" s="28" t="s">
        <v>7831</v>
      </c>
      <c r="R10" s="28" t="s">
        <v>620</v>
      </c>
      <c r="S10" s="28" t="s">
        <v>620</v>
      </c>
      <c r="T10" s="28" t="s">
        <v>620</v>
      </c>
      <c r="U10" s="28" t="s">
        <v>7832</v>
      </c>
      <c r="V10" s="6" t="s">
        <v>7847</v>
      </c>
      <c r="W10" s="19" t="s">
        <v>7848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5082</v>
      </c>
      <c r="B11" s="6" t="s">
        <v>7849</v>
      </c>
      <c r="C11" s="226" t="n">
        <v>36</v>
      </c>
      <c r="D11" s="224"/>
      <c r="E11" s="224"/>
      <c r="F11" s="224" t="s">
        <v>1667</v>
      </c>
      <c r="G11" s="28" t="s">
        <v>1220</v>
      </c>
      <c r="H11" s="28" t="s">
        <v>7850</v>
      </c>
      <c r="I11" s="28" t="s">
        <v>1224</v>
      </c>
      <c r="J11" s="6" t="s">
        <v>7829</v>
      </c>
      <c r="K11" s="224" t="n">
        <v>2</v>
      </c>
      <c r="L11" s="224" t="s">
        <v>6717</v>
      </c>
      <c r="M11" s="6" t="s">
        <v>7830</v>
      </c>
      <c r="N11" s="224" t="s">
        <v>6623</v>
      </c>
      <c r="O11" s="28" t="s">
        <v>6613</v>
      </c>
      <c r="P11" s="28" t="s">
        <v>620</v>
      </c>
      <c r="Q11" s="28" t="s">
        <v>7831</v>
      </c>
      <c r="R11" s="28" t="s">
        <v>620</v>
      </c>
      <c r="S11" s="28" t="s">
        <v>620</v>
      </c>
      <c r="T11" s="28" t="s">
        <v>620</v>
      </c>
      <c r="U11" s="28" t="s">
        <v>7832</v>
      </c>
      <c r="V11" s="6" t="s">
        <v>7851</v>
      </c>
      <c r="W11" s="19" t="s">
        <v>7852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7853</v>
      </c>
      <c r="B12" s="6" t="s">
        <v>7854</v>
      </c>
      <c r="C12" s="226" t="n">
        <v>48</v>
      </c>
      <c r="D12" s="224"/>
      <c r="E12" s="224"/>
      <c r="F12" s="224" t="s">
        <v>1667</v>
      </c>
      <c r="G12" s="28" t="s">
        <v>1214</v>
      </c>
      <c r="H12" s="28" t="s">
        <v>1217</v>
      </c>
      <c r="I12" s="28" t="s">
        <v>1224</v>
      </c>
      <c r="J12" s="6" t="s">
        <v>7855</v>
      </c>
      <c r="K12" s="224" t="n">
        <v>1</v>
      </c>
      <c r="L12" s="224" t="s">
        <v>6717</v>
      </c>
      <c r="M12" s="6" t="s">
        <v>7856</v>
      </c>
      <c r="N12" s="224" t="s">
        <v>6612</v>
      </c>
      <c r="O12" s="28" t="s">
        <v>6613</v>
      </c>
      <c r="P12" s="28" t="s">
        <v>620</v>
      </c>
      <c r="Q12" s="28" t="s">
        <v>7857</v>
      </c>
      <c r="R12" s="28" t="s">
        <v>620</v>
      </c>
      <c r="S12" s="28" t="s">
        <v>6120</v>
      </c>
      <c r="T12" s="28" t="s">
        <v>620</v>
      </c>
      <c r="U12" s="28" t="s">
        <v>7858</v>
      </c>
      <c r="V12" s="6" t="s">
        <v>7859</v>
      </c>
      <c r="W12" s="19" t="s">
        <v>7860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7861</v>
      </c>
      <c r="B13" s="6" t="s">
        <v>7862</v>
      </c>
      <c r="C13" s="226" t="n">
        <v>37</v>
      </c>
      <c r="D13" s="224"/>
      <c r="E13" s="224"/>
      <c r="F13" s="224" t="s">
        <v>1667</v>
      </c>
      <c r="G13" s="28" t="s">
        <v>1214</v>
      </c>
      <c r="H13" s="28" t="s">
        <v>1211</v>
      </c>
      <c r="I13" s="28" t="s">
        <v>1224</v>
      </c>
      <c r="J13" s="6" t="s">
        <v>7855</v>
      </c>
      <c r="K13" s="224" t="n">
        <v>3</v>
      </c>
      <c r="L13" s="224" t="s">
        <v>6717</v>
      </c>
      <c r="M13" s="6" t="s">
        <v>7856</v>
      </c>
      <c r="N13" s="224" t="s">
        <v>7419</v>
      </c>
      <c r="O13" s="28" t="s">
        <v>6613</v>
      </c>
      <c r="P13" s="28" t="s">
        <v>620</v>
      </c>
      <c r="Q13" s="28" t="s">
        <v>7863</v>
      </c>
      <c r="R13" s="28" t="s">
        <v>620</v>
      </c>
      <c r="S13" s="28" t="s">
        <v>620</v>
      </c>
      <c r="T13" s="28" t="s">
        <v>620</v>
      </c>
      <c r="U13" s="28" t="s">
        <v>7858</v>
      </c>
      <c r="V13" s="6" t="s">
        <v>7864</v>
      </c>
      <c r="W13" s="6" t="s">
        <v>620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7865</v>
      </c>
      <c r="B14" s="6" t="s">
        <v>7866</v>
      </c>
      <c r="C14" s="226" t="n">
        <v>39</v>
      </c>
      <c r="D14" s="224"/>
      <c r="E14" s="224"/>
      <c r="F14" s="224" t="s">
        <v>1667</v>
      </c>
      <c r="G14" s="28" t="s">
        <v>1214</v>
      </c>
      <c r="H14" s="28" t="s">
        <v>1233</v>
      </c>
      <c r="I14" s="28" t="s">
        <v>1224</v>
      </c>
      <c r="J14" s="6" t="s">
        <v>7855</v>
      </c>
      <c r="K14" s="224" t="n">
        <v>3</v>
      </c>
      <c r="L14" s="224" t="s">
        <v>6717</v>
      </c>
      <c r="M14" s="6" t="s">
        <v>7856</v>
      </c>
      <c r="N14" s="224" t="s">
        <v>7419</v>
      </c>
      <c r="O14" s="28" t="s">
        <v>6613</v>
      </c>
      <c r="P14" s="28" t="s">
        <v>620</v>
      </c>
      <c r="Q14" s="28" t="s">
        <v>7863</v>
      </c>
      <c r="R14" s="28" t="s">
        <v>620</v>
      </c>
      <c r="S14" s="28" t="s">
        <v>620</v>
      </c>
      <c r="T14" s="28" t="s">
        <v>620</v>
      </c>
      <c r="U14" s="28" t="s">
        <v>7858</v>
      </c>
      <c r="V14" s="6" t="s">
        <v>7867</v>
      </c>
      <c r="W14" s="6" t="s">
        <v>620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2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7868</v>
      </c>
      <c r="B15" s="6" t="s">
        <v>7869</v>
      </c>
      <c r="C15" s="226" t="n">
        <v>45</v>
      </c>
      <c r="D15" s="224"/>
      <c r="E15" s="224"/>
      <c r="F15" s="224" t="s">
        <v>1667</v>
      </c>
      <c r="G15" s="28" t="s">
        <v>7870</v>
      </c>
      <c r="H15" s="28" t="s">
        <v>1240</v>
      </c>
      <c r="I15" s="28" t="s">
        <v>1224</v>
      </c>
      <c r="J15" s="6" t="s">
        <v>7855</v>
      </c>
      <c r="K15" s="224" t="n">
        <v>1</v>
      </c>
      <c r="L15" s="224" t="s">
        <v>6717</v>
      </c>
      <c r="M15" s="6" t="s">
        <v>7856</v>
      </c>
      <c r="N15" s="224" t="s">
        <v>6612</v>
      </c>
      <c r="O15" s="28" t="s">
        <v>6613</v>
      </c>
      <c r="P15" s="28" t="s">
        <v>620</v>
      </c>
      <c r="Q15" s="28" t="s">
        <v>7871</v>
      </c>
      <c r="R15" s="28" t="s">
        <v>620</v>
      </c>
      <c r="S15" s="28" t="s">
        <v>6120</v>
      </c>
      <c r="T15" s="28" t="s">
        <v>620</v>
      </c>
      <c r="U15" s="28" t="s">
        <v>7858</v>
      </c>
      <c r="V15" s="6" t="s">
        <v>7872</v>
      </c>
      <c r="W15" s="6" t="s">
        <v>7873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2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5195</v>
      </c>
      <c r="B16" s="6" t="s">
        <v>7874</v>
      </c>
      <c r="C16" s="226" t="n">
        <v>3.5667</v>
      </c>
      <c r="D16" s="224"/>
      <c r="E16" s="224"/>
      <c r="F16" s="224" t="s">
        <v>7875</v>
      </c>
      <c r="G16" s="28" t="s">
        <v>7876</v>
      </c>
      <c r="H16" s="28" t="s">
        <v>1995</v>
      </c>
      <c r="I16" s="28" t="s">
        <v>6620</v>
      </c>
      <c r="J16" s="6" t="s">
        <v>7877</v>
      </c>
      <c r="K16" s="224" t="n">
        <v>2</v>
      </c>
      <c r="L16" s="224" t="s">
        <v>6717</v>
      </c>
      <c r="M16" s="6" t="s">
        <v>7878</v>
      </c>
      <c r="N16" s="224" t="s">
        <v>6623</v>
      </c>
      <c r="O16" s="28" t="s">
        <v>6613</v>
      </c>
      <c r="P16" s="28" t="s">
        <v>620</v>
      </c>
      <c r="Q16" s="28" t="s">
        <v>7879</v>
      </c>
      <c r="R16" s="28" t="s">
        <v>620</v>
      </c>
      <c r="S16" s="28" t="s">
        <v>620</v>
      </c>
      <c r="T16" s="28" t="s">
        <v>620</v>
      </c>
      <c r="U16" s="28" t="s">
        <v>1997</v>
      </c>
      <c r="V16" s="6" t="s">
        <v>7880</v>
      </c>
      <c r="W16" s="6" t="s">
        <v>7881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2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7882</v>
      </c>
      <c r="B17" s="6" t="s">
        <v>7883</v>
      </c>
      <c r="C17" s="226" t="n">
        <v>0.5333</v>
      </c>
      <c r="D17" s="224"/>
      <c r="E17" s="224"/>
      <c r="F17" s="224" t="s">
        <v>7875</v>
      </c>
      <c r="G17" s="28" t="s">
        <v>7876</v>
      </c>
      <c r="H17" s="28" t="s">
        <v>1995</v>
      </c>
      <c r="I17" s="28" t="s">
        <v>6620</v>
      </c>
      <c r="J17" s="6" t="s">
        <v>7877</v>
      </c>
      <c r="K17" s="224" t="n">
        <v>2</v>
      </c>
      <c r="L17" s="224" t="s">
        <v>6717</v>
      </c>
      <c r="M17" s="6" t="s">
        <v>7878</v>
      </c>
      <c r="N17" s="224" t="s">
        <v>6623</v>
      </c>
      <c r="O17" s="28" t="s">
        <v>6613</v>
      </c>
      <c r="P17" s="28" t="s">
        <v>620</v>
      </c>
      <c r="Q17" s="28" t="s">
        <v>7879</v>
      </c>
      <c r="R17" s="28" t="s">
        <v>620</v>
      </c>
      <c r="S17" s="28" t="s">
        <v>620</v>
      </c>
      <c r="T17" s="28" t="s">
        <v>620</v>
      </c>
      <c r="U17" s="28" t="s">
        <v>1997</v>
      </c>
      <c r="V17" s="6" t="s">
        <v>7884</v>
      </c>
      <c r="W17" s="6" t="s">
        <v>7885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7886</v>
      </c>
      <c r="B18" s="6" t="s">
        <v>7887</v>
      </c>
      <c r="C18" s="226" t="n">
        <v>6.5667</v>
      </c>
      <c r="D18" s="224"/>
      <c r="E18" s="224"/>
      <c r="F18" s="224" t="s">
        <v>7875</v>
      </c>
      <c r="G18" s="28" t="s">
        <v>7888</v>
      </c>
      <c r="H18" s="28" t="s">
        <v>7889</v>
      </c>
      <c r="I18" s="28" t="s">
        <v>6620</v>
      </c>
      <c r="J18" s="6" t="s">
        <v>7877</v>
      </c>
      <c r="K18" s="224" t="n">
        <v>2</v>
      </c>
      <c r="L18" s="224" t="s">
        <v>6717</v>
      </c>
      <c r="M18" s="6" t="s">
        <v>7878</v>
      </c>
      <c r="N18" s="224" t="s">
        <v>6623</v>
      </c>
      <c r="O18" s="28" t="s">
        <v>6613</v>
      </c>
      <c r="P18" s="28" t="s">
        <v>620</v>
      </c>
      <c r="Q18" s="28" t="s">
        <v>7879</v>
      </c>
      <c r="R18" s="28" t="s">
        <v>620</v>
      </c>
      <c r="S18" s="28" t="s">
        <v>620</v>
      </c>
      <c r="T18" s="28" t="s">
        <v>620</v>
      </c>
      <c r="U18" s="28" t="s">
        <v>1997</v>
      </c>
      <c r="V18" s="6" t="s">
        <v>7890</v>
      </c>
      <c r="W18" s="6" t="s">
        <v>620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7891</v>
      </c>
      <c r="B19" s="6" t="s">
        <v>7892</v>
      </c>
      <c r="C19" s="226" t="n">
        <v>0.9167</v>
      </c>
      <c r="D19" s="224"/>
      <c r="E19" s="224"/>
      <c r="F19" s="224" t="s">
        <v>7875</v>
      </c>
      <c r="G19" s="28" t="s">
        <v>7888</v>
      </c>
      <c r="H19" s="28" t="s">
        <v>7889</v>
      </c>
      <c r="I19" s="28" t="s">
        <v>6620</v>
      </c>
      <c r="J19" s="6" t="s">
        <v>7877</v>
      </c>
      <c r="K19" s="224" t="n">
        <v>2</v>
      </c>
      <c r="L19" s="224" t="s">
        <v>6717</v>
      </c>
      <c r="M19" s="6" t="s">
        <v>7878</v>
      </c>
      <c r="N19" s="224" t="s">
        <v>6623</v>
      </c>
      <c r="O19" s="28" t="s">
        <v>6613</v>
      </c>
      <c r="P19" s="28" t="s">
        <v>620</v>
      </c>
      <c r="Q19" s="28" t="s">
        <v>7879</v>
      </c>
      <c r="R19" s="28" t="s">
        <v>620</v>
      </c>
      <c r="S19" s="28" t="s">
        <v>620</v>
      </c>
      <c r="T19" s="28" t="s">
        <v>620</v>
      </c>
      <c r="U19" s="28" t="s">
        <v>1997</v>
      </c>
      <c r="V19" s="6" t="s">
        <v>7893</v>
      </c>
      <c r="W19" s="6" t="s">
        <v>620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7894</v>
      </c>
      <c r="B20" s="6" t="s">
        <v>7895</v>
      </c>
      <c r="C20" s="226" t="n">
        <v>5.7</v>
      </c>
      <c r="D20" s="224"/>
      <c r="E20" s="224"/>
      <c r="F20" s="224" t="s">
        <v>7875</v>
      </c>
      <c r="G20" s="28" t="s">
        <v>7888</v>
      </c>
      <c r="H20" s="28" t="s">
        <v>7896</v>
      </c>
      <c r="I20" s="28" t="s">
        <v>6620</v>
      </c>
      <c r="J20" s="6" t="s">
        <v>7877</v>
      </c>
      <c r="K20" s="224" t="n">
        <v>2</v>
      </c>
      <c r="L20" s="224" t="s">
        <v>6717</v>
      </c>
      <c r="M20" s="6" t="s">
        <v>7878</v>
      </c>
      <c r="N20" s="224" t="s">
        <v>6623</v>
      </c>
      <c r="O20" s="28" t="s">
        <v>6613</v>
      </c>
      <c r="P20" s="28" t="s">
        <v>620</v>
      </c>
      <c r="Q20" s="28" t="s">
        <v>7879</v>
      </c>
      <c r="R20" s="28" t="s">
        <v>620</v>
      </c>
      <c r="S20" s="28" t="s">
        <v>620</v>
      </c>
      <c r="T20" s="28" t="s">
        <v>620</v>
      </c>
      <c r="U20" s="28" t="s">
        <v>1997</v>
      </c>
      <c r="V20" s="6" t="s">
        <v>7897</v>
      </c>
      <c r="W20" s="6" t="s">
        <v>620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7898</v>
      </c>
      <c r="B21" s="6" t="s">
        <v>7899</v>
      </c>
      <c r="C21" s="226" t="n">
        <v>0.9</v>
      </c>
      <c r="D21" s="224"/>
      <c r="E21" s="224"/>
      <c r="F21" s="224" t="s">
        <v>7875</v>
      </c>
      <c r="G21" s="28" t="s">
        <v>7888</v>
      </c>
      <c r="H21" s="28" t="s">
        <v>7896</v>
      </c>
      <c r="I21" s="28" t="s">
        <v>6620</v>
      </c>
      <c r="J21" s="6" t="s">
        <v>7877</v>
      </c>
      <c r="K21" s="224" t="n">
        <v>2</v>
      </c>
      <c r="L21" s="224" t="s">
        <v>6717</v>
      </c>
      <c r="M21" s="6" t="s">
        <v>7878</v>
      </c>
      <c r="N21" s="224" t="s">
        <v>6623</v>
      </c>
      <c r="O21" s="28" t="s">
        <v>6613</v>
      </c>
      <c r="P21" s="28" t="s">
        <v>620</v>
      </c>
      <c r="Q21" s="28" t="s">
        <v>7879</v>
      </c>
      <c r="R21" s="28" t="s">
        <v>620</v>
      </c>
      <c r="S21" s="28" t="s">
        <v>620</v>
      </c>
      <c r="T21" s="28" t="s">
        <v>620</v>
      </c>
      <c r="U21" s="28" t="s">
        <v>1997</v>
      </c>
      <c r="V21" s="6" t="s">
        <v>7900</v>
      </c>
      <c r="W21" s="6" t="s">
        <v>620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7901</v>
      </c>
      <c r="B22" s="6" t="s">
        <v>7902</v>
      </c>
      <c r="C22" s="226" t="n">
        <v>5.8333</v>
      </c>
      <c r="D22" s="224"/>
      <c r="E22" s="224"/>
      <c r="F22" s="224" t="s">
        <v>7875</v>
      </c>
      <c r="G22" s="28" t="s">
        <v>7888</v>
      </c>
      <c r="H22" s="28" t="s">
        <v>2000</v>
      </c>
      <c r="I22" s="28" t="s">
        <v>6620</v>
      </c>
      <c r="J22" s="6" t="s">
        <v>7877</v>
      </c>
      <c r="K22" s="224" t="n">
        <v>2</v>
      </c>
      <c r="L22" s="224" t="s">
        <v>6717</v>
      </c>
      <c r="M22" s="6" t="s">
        <v>7878</v>
      </c>
      <c r="N22" s="224" t="s">
        <v>6623</v>
      </c>
      <c r="O22" s="28" t="s">
        <v>6613</v>
      </c>
      <c r="P22" s="28" t="s">
        <v>620</v>
      </c>
      <c r="Q22" s="28" t="s">
        <v>7879</v>
      </c>
      <c r="R22" s="28" t="s">
        <v>620</v>
      </c>
      <c r="S22" s="28" t="s">
        <v>620</v>
      </c>
      <c r="T22" s="28" t="s">
        <v>620</v>
      </c>
      <c r="U22" s="28" t="s">
        <v>1997</v>
      </c>
      <c r="V22" s="6" t="s">
        <v>7903</v>
      </c>
      <c r="W22" s="6" t="s">
        <v>620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7904</v>
      </c>
      <c r="B23" s="6" t="s">
        <v>7905</v>
      </c>
      <c r="C23" s="226" t="n">
        <v>1.5</v>
      </c>
      <c r="D23" s="224"/>
      <c r="E23" s="224"/>
      <c r="F23" s="224" t="s">
        <v>7875</v>
      </c>
      <c r="G23" s="28" t="s">
        <v>7888</v>
      </c>
      <c r="H23" s="28" t="s">
        <v>2000</v>
      </c>
      <c r="I23" s="28" t="s">
        <v>6620</v>
      </c>
      <c r="J23" s="6" t="s">
        <v>7877</v>
      </c>
      <c r="K23" s="224" t="n">
        <v>2</v>
      </c>
      <c r="L23" s="224" t="s">
        <v>6717</v>
      </c>
      <c r="M23" s="6" t="s">
        <v>7878</v>
      </c>
      <c r="N23" s="224" t="s">
        <v>6623</v>
      </c>
      <c r="O23" s="28" t="s">
        <v>6613</v>
      </c>
      <c r="P23" s="28" t="s">
        <v>620</v>
      </c>
      <c r="Q23" s="28" t="s">
        <v>7879</v>
      </c>
      <c r="R23" s="28" t="s">
        <v>620</v>
      </c>
      <c r="S23" s="28" t="s">
        <v>620</v>
      </c>
      <c r="T23" s="28" t="s">
        <v>620</v>
      </c>
      <c r="U23" s="28" t="s">
        <v>1997</v>
      </c>
      <c r="V23" s="6" t="s">
        <v>7906</v>
      </c>
      <c r="W23" s="6" t="s">
        <v>620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5180</v>
      </c>
      <c r="B24" s="6" t="s">
        <v>7907</v>
      </c>
      <c r="C24" s="226" t="n">
        <v>11.3</v>
      </c>
      <c r="D24" s="224"/>
      <c r="E24" s="224"/>
      <c r="F24" s="224" t="s">
        <v>7875</v>
      </c>
      <c r="G24" s="28" t="s">
        <v>7888</v>
      </c>
      <c r="H24" s="28" t="s">
        <v>7456</v>
      </c>
      <c r="I24" s="28" t="s">
        <v>6620</v>
      </c>
      <c r="J24" s="6" t="s">
        <v>7877</v>
      </c>
      <c r="K24" s="224" t="n">
        <v>2</v>
      </c>
      <c r="L24" s="224" t="s">
        <v>6717</v>
      </c>
      <c r="M24" s="6" t="s">
        <v>7878</v>
      </c>
      <c r="N24" s="224" t="s">
        <v>6623</v>
      </c>
      <c r="O24" s="28" t="s">
        <v>6613</v>
      </c>
      <c r="P24" s="28" t="s">
        <v>620</v>
      </c>
      <c r="Q24" s="28" t="s">
        <v>7879</v>
      </c>
      <c r="R24" s="28" t="s">
        <v>620</v>
      </c>
      <c r="S24" s="28" t="s">
        <v>620</v>
      </c>
      <c r="T24" s="28" t="s">
        <v>620</v>
      </c>
      <c r="U24" s="28" t="s">
        <v>1997</v>
      </c>
      <c r="V24" s="6" t="s">
        <v>620</v>
      </c>
      <c r="W24" s="6" t="s">
        <v>7908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5189</v>
      </c>
      <c r="B25" s="6" t="s">
        <v>7909</v>
      </c>
      <c r="C25" s="226" t="n">
        <v>17.4</v>
      </c>
      <c r="D25" s="224"/>
      <c r="E25" s="224"/>
      <c r="F25" s="224" t="s">
        <v>7875</v>
      </c>
      <c r="G25" s="28" t="s">
        <v>7910</v>
      </c>
      <c r="H25" s="28" t="s">
        <v>7911</v>
      </c>
      <c r="I25" s="28" t="s">
        <v>6620</v>
      </c>
      <c r="J25" s="6" t="s">
        <v>7877</v>
      </c>
      <c r="K25" s="224" t="n">
        <v>2</v>
      </c>
      <c r="L25" s="224" t="s">
        <v>6717</v>
      </c>
      <c r="M25" s="6" t="s">
        <v>7878</v>
      </c>
      <c r="N25" s="224" t="s">
        <v>6623</v>
      </c>
      <c r="O25" s="28" t="s">
        <v>6613</v>
      </c>
      <c r="P25" s="28" t="s">
        <v>620</v>
      </c>
      <c r="Q25" s="28" t="s">
        <v>7879</v>
      </c>
      <c r="R25" s="28" t="s">
        <v>620</v>
      </c>
      <c r="S25" s="28" t="s">
        <v>620</v>
      </c>
      <c r="T25" s="28" t="s">
        <v>620</v>
      </c>
      <c r="U25" s="28" t="s">
        <v>1997</v>
      </c>
      <c r="V25" s="6" t="s">
        <v>620</v>
      </c>
      <c r="W25" s="6" t="s">
        <v>620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7912</v>
      </c>
    </row>
    <row r="2" customFormat="false" ht="15" hidden="false" customHeight="true" outlineLevel="0" collapsed="false">
      <c r="A2" s="233" t="s">
        <v>6584</v>
      </c>
    </row>
    <row r="3" customFormat="false" ht="15" hidden="false" customHeight="true" outlineLevel="0" collapsed="false">
      <c r="A3" s="233" t="s">
        <v>6585</v>
      </c>
    </row>
    <row r="4" customFormat="false" ht="43.5" hidden="false" customHeight="true" outlineLevel="0" collapsed="false">
      <c r="A4" s="84" t="s">
        <v>6586</v>
      </c>
      <c r="B4" s="222" t="s">
        <v>2401</v>
      </c>
      <c r="C4" s="222" t="s">
        <v>6587</v>
      </c>
      <c r="D4" s="222" t="s">
        <v>1150</v>
      </c>
      <c r="E4" s="222" t="s">
        <v>1151</v>
      </c>
      <c r="F4" s="222" t="s">
        <v>83</v>
      </c>
      <c r="G4" s="222" t="s">
        <v>472</v>
      </c>
      <c r="H4" s="222" t="s">
        <v>6588</v>
      </c>
      <c r="I4" s="222" t="s">
        <v>5819</v>
      </c>
      <c r="J4" s="222" t="s">
        <v>5822</v>
      </c>
      <c r="K4" s="222" t="s">
        <v>5993</v>
      </c>
      <c r="L4" s="222" t="s">
        <v>6589</v>
      </c>
      <c r="M4" s="222" t="s">
        <v>6590</v>
      </c>
      <c r="N4" s="222" t="s">
        <v>6591</v>
      </c>
      <c r="O4" s="222" t="s">
        <v>607</v>
      </c>
      <c r="P4" s="222" t="s">
        <v>6592</v>
      </c>
      <c r="Q4" s="84" t="s">
        <v>6593</v>
      </c>
      <c r="R4" s="222" t="s">
        <v>6594</v>
      </c>
      <c r="S4" s="222" t="s">
        <v>6595</v>
      </c>
      <c r="T4" s="84" t="s">
        <v>6596</v>
      </c>
      <c r="U4" s="222" t="s">
        <v>6597</v>
      </c>
      <c r="V4" s="222" t="s">
        <v>6598</v>
      </c>
      <c r="W4" s="222" t="s">
        <v>6599</v>
      </c>
      <c r="X4" s="222" t="s">
        <v>6600</v>
      </c>
      <c r="Y4" s="222" t="s">
        <v>6601</v>
      </c>
      <c r="Z4" s="222" t="s">
        <v>6602</v>
      </c>
      <c r="AH4" s="83" t="s">
        <v>6603</v>
      </c>
    </row>
    <row r="5" customFormat="false" ht="15" hidden="false" customHeight="true" outlineLevel="0" collapsed="false">
      <c r="A5" s="28" t="s">
        <v>4624</v>
      </c>
      <c r="B5" s="6" t="s">
        <v>7913</v>
      </c>
      <c r="C5" s="226" t="n">
        <v>4</v>
      </c>
      <c r="D5" s="224"/>
      <c r="E5" s="224"/>
      <c r="F5" s="28" t="s">
        <v>103</v>
      </c>
      <c r="G5" s="224" t="s">
        <v>7914</v>
      </c>
      <c r="H5" s="28" t="s">
        <v>7915</v>
      </c>
      <c r="I5" s="28" t="s">
        <v>7202</v>
      </c>
      <c r="J5" s="6" t="s">
        <v>7916</v>
      </c>
      <c r="K5" s="224" t="n">
        <v>2</v>
      </c>
      <c r="L5" s="224" t="s">
        <v>6610</v>
      </c>
      <c r="M5" s="6" t="s">
        <v>7917</v>
      </c>
      <c r="N5" s="224" t="s">
        <v>6623</v>
      </c>
      <c r="O5" s="28" t="s">
        <v>6613</v>
      </c>
      <c r="P5" s="28" t="s">
        <v>620</v>
      </c>
      <c r="Q5" s="28" t="s">
        <v>7918</v>
      </c>
      <c r="R5" s="28" t="s">
        <v>620</v>
      </c>
      <c r="S5" s="28" t="s">
        <v>620</v>
      </c>
      <c r="T5" s="28" t="s">
        <v>620</v>
      </c>
      <c r="U5" s="28" t="s">
        <v>7919</v>
      </c>
      <c r="V5" s="6" t="s">
        <v>7920</v>
      </c>
      <c r="W5" s="6" t="s">
        <v>620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4627</v>
      </c>
      <c r="B6" s="6" t="s">
        <v>7921</v>
      </c>
      <c r="C6" s="226" t="n">
        <v>15</v>
      </c>
      <c r="D6" s="224"/>
      <c r="E6" s="224"/>
      <c r="F6" s="28" t="s">
        <v>103</v>
      </c>
      <c r="G6" s="224" t="s">
        <v>6698</v>
      </c>
      <c r="H6" s="28" t="s">
        <v>7915</v>
      </c>
      <c r="I6" s="28" t="s">
        <v>7202</v>
      </c>
      <c r="J6" s="6" t="s">
        <v>7916</v>
      </c>
      <c r="K6" s="224" t="n">
        <v>2</v>
      </c>
      <c r="L6" s="224" t="s">
        <v>6610</v>
      </c>
      <c r="M6" s="6" t="s">
        <v>7917</v>
      </c>
      <c r="N6" s="224" t="s">
        <v>6623</v>
      </c>
      <c r="O6" s="28" t="s">
        <v>6613</v>
      </c>
      <c r="P6" s="28" t="s">
        <v>620</v>
      </c>
      <c r="Q6" s="28" t="s">
        <v>7918</v>
      </c>
      <c r="R6" s="28" t="s">
        <v>620</v>
      </c>
      <c r="S6" s="28" t="s">
        <v>620</v>
      </c>
      <c r="T6" s="28" t="s">
        <v>620</v>
      </c>
      <c r="U6" s="28" t="s">
        <v>7919</v>
      </c>
      <c r="V6" s="6" t="s">
        <v>7922</v>
      </c>
      <c r="W6" s="6" t="s">
        <v>7923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5135</v>
      </c>
      <c r="B7" s="6" t="s">
        <v>7924</v>
      </c>
      <c r="C7" s="226" t="n">
        <v>0.627</v>
      </c>
      <c r="D7" s="224"/>
      <c r="E7" s="224"/>
      <c r="F7" s="28" t="s">
        <v>99</v>
      </c>
      <c r="G7" s="28" t="s">
        <v>7925</v>
      </c>
      <c r="H7" s="28" t="s">
        <v>1219</v>
      </c>
      <c r="I7" s="28" t="s">
        <v>1224</v>
      </c>
      <c r="J7" s="6" t="s">
        <v>7926</v>
      </c>
      <c r="K7" s="224" t="n">
        <v>2</v>
      </c>
      <c r="L7" s="224" t="s">
        <v>6610</v>
      </c>
      <c r="M7" s="6" t="s">
        <v>7927</v>
      </c>
      <c r="N7" s="224" t="s">
        <v>6623</v>
      </c>
      <c r="O7" s="28" t="s">
        <v>6613</v>
      </c>
      <c r="P7" s="28" t="s">
        <v>620</v>
      </c>
      <c r="Q7" s="28" t="s">
        <v>7928</v>
      </c>
      <c r="R7" s="28" t="s">
        <v>620</v>
      </c>
      <c r="S7" s="28" t="s">
        <v>620</v>
      </c>
      <c r="T7" s="28" t="s">
        <v>620</v>
      </c>
      <c r="U7" s="28" t="s">
        <v>1978</v>
      </c>
      <c r="V7" s="6" t="s">
        <v>7929</v>
      </c>
      <c r="W7" s="6" t="s">
        <v>620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7930</v>
      </c>
      <c r="B8" s="6" t="s">
        <v>7931</v>
      </c>
      <c r="C8" s="226" t="n">
        <v>26098</v>
      </c>
      <c r="D8" s="224"/>
      <c r="E8" s="224"/>
      <c r="F8" s="28" t="s">
        <v>435</v>
      </c>
      <c r="G8" s="224" t="s">
        <v>125</v>
      </c>
      <c r="H8" s="28" t="s">
        <v>1219</v>
      </c>
      <c r="I8" s="28" t="s">
        <v>1224</v>
      </c>
      <c r="J8" s="6" t="s">
        <v>7926</v>
      </c>
      <c r="K8" s="224" t="n">
        <v>2</v>
      </c>
      <c r="L8" s="224" t="s">
        <v>6610</v>
      </c>
      <c r="M8" s="6" t="s">
        <v>7927</v>
      </c>
      <c r="N8" s="224" t="s">
        <v>6623</v>
      </c>
      <c r="O8" s="28" t="s">
        <v>6613</v>
      </c>
      <c r="P8" s="28" t="s">
        <v>620</v>
      </c>
      <c r="Q8" s="28" t="s">
        <v>7928</v>
      </c>
      <c r="R8" s="28" t="s">
        <v>620</v>
      </c>
      <c r="S8" s="28" t="s">
        <v>620</v>
      </c>
      <c r="T8" s="28" t="s">
        <v>620</v>
      </c>
      <c r="U8" s="28" t="s">
        <v>1978</v>
      </c>
      <c r="V8" s="6" t="s">
        <v>7932</v>
      </c>
      <c r="W8" s="6" t="s">
        <v>620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7933</v>
      </c>
      <c r="B9" s="6" t="s">
        <v>7934</v>
      </c>
      <c r="C9" s="226" t="n">
        <v>0.986</v>
      </c>
      <c r="D9" s="224"/>
      <c r="E9" s="224"/>
      <c r="F9" s="28" t="s">
        <v>99</v>
      </c>
      <c r="G9" s="224" t="s">
        <v>125</v>
      </c>
      <c r="H9" s="28" t="s">
        <v>1219</v>
      </c>
      <c r="I9" s="28" t="s">
        <v>1224</v>
      </c>
      <c r="J9" s="6" t="s">
        <v>7926</v>
      </c>
      <c r="K9" s="224" t="n">
        <v>2</v>
      </c>
      <c r="L9" s="224" t="s">
        <v>6610</v>
      </c>
      <c r="M9" s="6" t="s">
        <v>7927</v>
      </c>
      <c r="N9" s="224" t="s">
        <v>6623</v>
      </c>
      <c r="O9" s="28" t="s">
        <v>6613</v>
      </c>
      <c r="P9" s="28" t="s">
        <v>620</v>
      </c>
      <c r="Q9" s="28" t="s">
        <v>7928</v>
      </c>
      <c r="R9" s="28" t="s">
        <v>620</v>
      </c>
      <c r="S9" s="28" t="s">
        <v>620</v>
      </c>
      <c r="T9" s="28" t="s">
        <v>620</v>
      </c>
      <c r="U9" s="28" t="s">
        <v>1978</v>
      </c>
      <c r="V9" s="6" t="s">
        <v>7935</v>
      </c>
      <c r="W9" s="6" t="s">
        <v>620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7936</v>
      </c>
      <c r="B10" s="6" t="s">
        <v>7937</v>
      </c>
      <c r="C10" s="226" t="n">
        <v>17332</v>
      </c>
      <c r="D10" s="224"/>
      <c r="E10" s="224"/>
      <c r="F10" s="28" t="s">
        <v>435</v>
      </c>
      <c r="G10" s="224" t="s">
        <v>125</v>
      </c>
      <c r="H10" s="28" t="s">
        <v>1219</v>
      </c>
      <c r="I10" s="28" t="s">
        <v>1224</v>
      </c>
      <c r="J10" s="6" t="s">
        <v>7926</v>
      </c>
      <c r="K10" s="224" t="n">
        <v>2</v>
      </c>
      <c r="L10" s="224" t="s">
        <v>6610</v>
      </c>
      <c r="M10" s="6" t="s">
        <v>7927</v>
      </c>
      <c r="N10" s="224" t="s">
        <v>6623</v>
      </c>
      <c r="O10" s="28" t="s">
        <v>6613</v>
      </c>
      <c r="P10" s="28" t="s">
        <v>620</v>
      </c>
      <c r="Q10" s="28" t="s">
        <v>7928</v>
      </c>
      <c r="R10" s="28" t="s">
        <v>620</v>
      </c>
      <c r="S10" s="28" t="s">
        <v>620</v>
      </c>
      <c r="T10" s="28" t="s">
        <v>620</v>
      </c>
      <c r="U10" s="28" t="s">
        <v>1978</v>
      </c>
      <c r="V10" s="6" t="s">
        <v>7938</v>
      </c>
      <c r="W10" s="6" t="s">
        <v>620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7939</v>
      </c>
      <c r="B11" s="6" t="s">
        <v>7940</v>
      </c>
      <c r="C11" s="226" t="n">
        <v>0.999</v>
      </c>
      <c r="D11" s="224"/>
      <c r="E11" s="224"/>
      <c r="F11" s="28" t="s">
        <v>99</v>
      </c>
      <c r="G11" s="28" t="s">
        <v>7941</v>
      </c>
      <c r="H11" s="28" t="s">
        <v>1219</v>
      </c>
      <c r="I11" s="28" t="s">
        <v>1224</v>
      </c>
      <c r="J11" s="6" t="s">
        <v>7926</v>
      </c>
      <c r="K11" s="224" t="n">
        <v>2</v>
      </c>
      <c r="L11" s="224" t="s">
        <v>6610</v>
      </c>
      <c r="M11" s="6" t="s">
        <v>7927</v>
      </c>
      <c r="N11" s="224" t="s">
        <v>6623</v>
      </c>
      <c r="O11" s="28" t="s">
        <v>6613</v>
      </c>
      <c r="P11" s="28" t="s">
        <v>620</v>
      </c>
      <c r="Q11" s="28" t="s">
        <v>7928</v>
      </c>
      <c r="R11" s="28" t="s">
        <v>620</v>
      </c>
      <c r="S11" s="28" t="s">
        <v>620</v>
      </c>
      <c r="T11" s="28" t="s">
        <v>620</v>
      </c>
      <c r="U11" s="28" t="s">
        <v>1978</v>
      </c>
      <c r="V11" s="6" t="s">
        <v>7942</v>
      </c>
      <c r="W11" s="6" t="s">
        <v>620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7943</v>
      </c>
      <c r="B12" s="6" t="s">
        <v>7944</v>
      </c>
      <c r="C12" s="226" t="n">
        <v>18817</v>
      </c>
      <c r="D12" s="224"/>
      <c r="E12" s="224"/>
      <c r="F12" s="28" t="s">
        <v>435</v>
      </c>
      <c r="G12" s="224" t="s">
        <v>125</v>
      </c>
      <c r="H12" s="28" t="s">
        <v>1219</v>
      </c>
      <c r="I12" s="28" t="s">
        <v>1224</v>
      </c>
      <c r="J12" s="6" t="s">
        <v>7926</v>
      </c>
      <c r="K12" s="224" t="n">
        <v>2</v>
      </c>
      <c r="L12" s="224" t="s">
        <v>6610</v>
      </c>
      <c r="M12" s="6" t="s">
        <v>7927</v>
      </c>
      <c r="N12" s="224" t="s">
        <v>6623</v>
      </c>
      <c r="O12" s="28" t="s">
        <v>6613</v>
      </c>
      <c r="P12" s="28" t="s">
        <v>620</v>
      </c>
      <c r="Q12" s="28" t="s">
        <v>7928</v>
      </c>
      <c r="R12" s="28" t="s">
        <v>620</v>
      </c>
      <c r="S12" s="28" t="s">
        <v>620</v>
      </c>
      <c r="T12" s="28" t="s">
        <v>620</v>
      </c>
      <c r="U12" s="28" t="s">
        <v>1978</v>
      </c>
      <c r="V12" s="6" t="s">
        <v>7945</v>
      </c>
      <c r="W12" s="19" t="s">
        <v>7946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7947</v>
      </c>
      <c r="B13" s="6" t="s">
        <v>7948</v>
      </c>
      <c r="C13" s="226" t="n">
        <v>19302</v>
      </c>
      <c r="D13" s="224"/>
      <c r="E13" s="224"/>
      <c r="F13" s="28" t="s">
        <v>435</v>
      </c>
      <c r="G13" s="224" t="s">
        <v>125</v>
      </c>
      <c r="H13" s="28" t="s">
        <v>1219</v>
      </c>
      <c r="I13" s="28" t="s">
        <v>1224</v>
      </c>
      <c r="J13" s="6" t="s">
        <v>7926</v>
      </c>
      <c r="K13" s="224" t="n">
        <v>2</v>
      </c>
      <c r="L13" s="224" t="s">
        <v>6610</v>
      </c>
      <c r="M13" s="6" t="s">
        <v>7927</v>
      </c>
      <c r="N13" s="224" t="s">
        <v>6623</v>
      </c>
      <c r="O13" s="28" t="s">
        <v>6659</v>
      </c>
      <c r="P13" s="28" t="s">
        <v>620</v>
      </c>
      <c r="Q13" s="28" t="s">
        <v>7928</v>
      </c>
      <c r="R13" s="28" t="s">
        <v>620</v>
      </c>
      <c r="S13" s="28" t="s">
        <v>620</v>
      </c>
      <c r="T13" s="28" t="s">
        <v>620</v>
      </c>
      <c r="U13" s="28" t="s">
        <v>1978</v>
      </c>
      <c r="V13" s="6" t="s">
        <v>620</v>
      </c>
      <c r="W13" s="19" t="s">
        <v>7949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7950</v>
      </c>
      <c r="B14" s="6" t="s">
        <v>7951</v>
      </c>
      <c r="C14" s="226" t="n">
        <v>0.51</v>
      </c>
      <c r="D14" s="224"/>
      <c r="E14" s="224"/>
      <c r="F14" s="28" t="s">
        <v>103</v>
      </c>
      <c r="G14" s="224" t="s">
        <v>7952</v>
      </c>
      <c r="H14" s="28" t="s">
        <v>1219</v>
      </c>
      <c r="I14" s="28" t="s">
        <v>1224</v>
      </c>
      <c r="J14" s="6" t="s">
        <v>7926</v>
      </c>
      <c r="K14" s="224" t="n">
        <v>2</v>
      </c>
      <c r="L14" s="224" t="s">
        <v>6610</v>
      </c>
      <c r="M14" s="6" t="s">
        <v>7927</v>
      </c>
      <c r="N14" s="224" t="s">
        <v>6623</v>
      </c>
      <c r="O14" s="28" t="s">
        <v>6613</v>
      </c>
      <c r="P14" s="28" t="s">
        <v>620</v>
      </c>
      <c r="Q14" s="28" t="s">
        <v>7928</v>
      </c>
      <c r="R14" s="28" t="s">
        <v>620</v>
      </c>
      <c r="S14" s="28" t="s">
        <v>620</v>
      </c>
      <c r="T14" s="28" t="s">
        <v>620</v>
      </c>
      <c r="U14" s="28" t="s">
        <v>1978</v>
      </c>
      <c r="V14" s="6" t="s">
        <v>7953</v>
      </c>
      <c r="W14" s="6" t="s">
        <v>620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7954</v>
      </c>
      <c r="B15" s="6" t="s">
        <v>7955</v>
      </c>
      <c r="C15" s="226" t="n">
        <v>3.66</v>
      </c>
      <c r="D15" s="224"/>
      <c r="E15" s="224"/>
      <c r="F15" s="28" t="s">
        <v>103</v>
      </c>
      <c r="G15" s="28" t="s">
        <v>620</v>
      </c>
      <c r="H15" s="28" t="s">
        <v>1219</v>
      </c>
      <c r="I15" s="28" t="s">
        <v>1224</v>
      </c>
      <c r="J15" s="6" t="s">
        <v>7926</v>
      </c>
      <c r="K15" s="224" t="n">
        <v>2</v>
      </c>
      <c r="L15" s="224" t="s">
        <v>6610</v>
      </c>
      <c r="M15" s="6" t="s">
        <v>7927</v>
      </c>
      <c r="N15" s="224" t="s">
        <v>6623</v>
      </c>
      <c r="O15" s="28" t="s">
        <v>6613</v>
      </c>
      <c r="P15" s="28" t="s">
        <v>620</v>
      </c>
      <c r="Q15" s="28" t="s">
        <v>7928</v>
      </c>
      <c r="R15" s="28" t="s">
        <v>620</v>
      </c>
      <c r="S15" s="28" t="s">
        <v>620</v>
      </c>
      <c r="T15" s="28" t="s">
        <v>620</v>
      </c>
      <c r="U15" s="28" t="s">
        <v>1978</v>
      </c>
      <c r="V15" s="6" t="s">
        <v>620</v>
      </c>
      <c r="W15" s="6" t="s">
        <v>620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7956</v>
      </c>
      <c r="B16" s="6" t="s">
        <v>7957</v>
      </c>
      <c r="C16" s="226" t="n">
        <v>0.302</v>
      </c>
      <c r="D16" s="224"/>
      <c r="E16" s="224"/>
      <c r="F16" s="28" t="s">
        <v>99</v>
      </c>
      <c r="G16" s="28" t="s">
        <v>7958</v>
      </c>
      <c r="H16" s="28" t="s">
        <v>1226</v>
      </c>
      <c r="I16" s="28" t="s">
        <v>1224</v>
      </c>
      <c r="J16" s="6" t="s">
        <v>7926</v>
      </c>
      <c r="K16" s="224" t="n">
        <v>2</v>
      </c>
      <c r="L16" s="224" t="s">
        <v>6610</v>
      </c>
      <c r="M16" s="6" t="s">
        <v>7927</v>
      </c>
      <c r="N16" s="224" t="s">
        <v>6623</v>
      </c>
      <c r="O16" s="28" t="s">
        <v>6613</v>
      </c>
      <c r="P16" s="28" t="s">
        <v>620</v>
      </c>
      <c r="Q16" s="28" t="s">
        <v>7928</v>
      </c>
      <c r="R16" s="28" t="s">
        <v>620</v>
      </c>
      <c r="S16" s="28" t="s">
        <v>620</v>
      </c>
      <c r="T16" s="28" t="s">
        <v>620</v>
      </c>
      <c r="U16" s="28" t="s">
        <v>1978</v>
      </c>
      <c r="V16" s="6" t="s">
        <v>7959</v>
      </c>
      <c r="W16" s="6" t="s">
        <v>620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7960</v>
      </c>
      <c r="B17" s="6" t="s">
        <v>7961</v>
      </c>
      <c r="C17" s="226" t="n">
        <v>4.72</v>
      </c>
      <c r="D17" s="224"/>
      <c r="E17" s="224"/>
      <c r="F17" s="28" t="s">
        <v>7962</v>
      </c>
      <c r="G17" s="28" t="s">
        <v>7963</v>
      </c>
      <c r="H17" s="28" t="s">
        <v>1219</v>
      </c>
      <c r="I17" s="28" t="s">
        <v>1224</v>
      </c>
      <c r="J17" s="6" t="s">
        <v>7964</v>
      </c>
      <c r="K17" s="224" t="n">
        <v>2</v>
      </c>
      <c r="L17" s="224" t="s">
        <v>6717</v>
      </c>
      <c r="M17" s="6" t="s">
        <v>7965</v>
      </c>
      <c r="N17" s="224" t="s">
        <v>6623</v>
      </c>
      <c r="O17" s="28" t="s">
        <v>6613</v>
      </c>
      <c r="P17" s="28" t="s">
        <v>620</v>
      </c>
      <c r="Q17" s="28" t="s">
        <v>7966</v>
      </c>
      <c r="R17" s="28" t="s">
        <v>620</v>
      </c>
      <c r="S17" s="28" t="s">
        <v>620</v>
      </c>
      <c r="T17" s="28" t="s">
        <v>620</v>
      </c>
      <c r="U17" s="28" t="s">
        <v>7967</v>
      </c>
      <c r="V17" s="6" t="s">
        <v>620</v>
      </c>
      <c r="W17" s="19" t="s">
        <v>7968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7969</v>
      </c>
      <c r="B18" s="6" t="s">
        <v>7970</v>
      </c>
      <c r="C18" s="226" t="n">
        <v>9.18</v>
      </c>
      <c r="D18" s="224"/>
      <c r="E18" s="224"/>
      <c r="F18" s="28" t="s">
        <v>7962</v>
      </c>
      <c r="G18" s="28" t="s">
        <v>7963</v>
      </c>
      <c r="H18" s="28" t="s">
        <v>1222</v>
      </c>
      <c r="I18" s="28" t="s">
        <v>1224</v>
      </c>
      <c r="J18" s="6" t="s">
        <v>7964</v>
      </c>
      <c r="K18" s="224" t="n">
        <v>2</v>
      </c>
      <c r="L18" s="224" t="s">
        <v>6717</v>
      </c>
      <c r="M18" s="6" t="s">
        <v>7965</v>
      </c>
      <c r="N18" s="224" t="s">
        <v>6623</v>
      </c>
      <c r="O18" s="28" t="s">
        <v>6613</v>
      </c>
      <c r="P18" s="28" t="s">
        <v>620</v>
      </c>
      <c r="Q18" s="28" t="s">
        <v>7966</v>
      </c>
      <c r="R18" s="28" t="s">
        <v>620</v>
      </c>
      <c r="S18" s="28" t="s">
        <v>620</v>
      </c>
      <c r="T18" s="28" t="s">
        <v>620</v>
      </c>
      <c r="U18" s="28" t="s">
        <v>7967</v>
      </c>
      <c r="V18" s="6" t="s">
        <v>620</v>
      </c>
      <c r="W18" s="19" t="s">
        <v>7968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7971</v>
      </c>
      <c r="B19" s="6" t="s">
        <v>7972</v>
      </c>
      <c r="C19" s="226" t="n">
        <v>1</v>
      </c>
      <c r="D19" s="224"/>
      <c r="E19" s="224"/>
      <c r="F19" s="28" t="s">
        <v>99</v>
      </c>
      <c r="G19" s="224" t="s">
        <v>7973</v>
      </c>
      <c r="H19" s="28" t="s">
        <v>1226</v>
      </c>
      <c r="I19" s="28" t="s">
        <v>1224</v>
      </c>
      <c r="J19" s="6" t="s">
        <v>7974</v>
      </c>
      <c r="K19" s="224" t="n">
        <v>2</v>
      </c>
      <c r="L19" s="224" t="s">
        <v>6610</v>
      </c>
      <c r="M19" s="6" t="s">
        <v>7975</v>
      </c>
      <c r="N19" s="224" t="s">
        <v>6623</v>
      </c>
      <c r="O19" s="28" t="s">
        <v>6613</v>
      </c>
      <c r="P19" s="28" t="s">
        <v>620</v>
      </c>
      <c r="Q19" s="28" t="s">
        <v>7976</v>
      </c>
      <c r="R19" s="28" t="s">
        <v>620</v>
      </c>
      <c r="S19" s="28" t="s">
        <v>620</v>
      </c>
      <c r="T19" s="28" t="s">
        <v>620</v>
      </c>
      <c r="U19" s="28" t="s">
        <v>7977</v>
      </c>
      <c r="V19" s="6" t="s">
        <v>7978</v>
      </c>
      <c r="W19" s="19" t="s">
        <v>7979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7980</v>
      </c>
    </row>
    <row r="2" customFormat="false" ht="15" hidden="false" customHeight="true" outlineLevel="0" collapsed="false">
      <c r="A2" s="233" t="s">
        <v>6584</v>
      </c>
    </row>
    <row r="3" customFormat="false" ht="15" hidden="false" customHeight="true" outlineLevel="0" collapsed="false">
      <c r="A3" s="233" t="s">
        <v>6585</v>
      </c>
    </row>
    <row r="4" customFormat="false" ht="43.5" hidden="false" customHeight="true" outlineLevel="0" collapsed="false">
      <c r="A4" s="84" t="s">
        <v>6586</v>
      </c>
      <c r="B4" s="222" t="s">
        <v>2401</v>
      </c>
      <c r="C4" s="222" t="s">
        <v>6587</v>
      </c>
      <c r="D4" s="222" t="s">
        <v>1150</v>
      </c>
      <c r="E4" s="222" t="s">
        <v>1151</v>
      </c>
      <c r="F4" s="222" t="s">
        <v>83</v>
      </c>
      <c r="G4" s="222" t="s">
        <v>472</v>
      </c>
      <c r="H4" s="222" t="s">
        <v>6588</v>
      </c>
      <c r="I4" s="222" t="s">
        <v>5819</v>
      </c>
      <c r="J4" s="222" t="s">
        <v>5822</v>
      </c>
      <c r="K4" s="222" t="s">
        <v>5993</v>
      </c>
      <c r="L4" s="222" t="s">
        <v>6589</v>
      </c>
      <c r="M4" s="222" t="s">
        <v>6590</v>
      </c>
      <c r="N4" s="222" t="s">
        <v>6591</v>
      </c>
      <c r="O4" s="222" t="s">
        <v>607</v>
      </c>
      <c r="P4" s="222" t="s">
        <v>6592</v>
      </c>
      <c r="Q4" s="84" t="s">
        <v>6593</v>
      </c>
      <c r="R4" s="222" t="s">
        <v>6594</v>
      </c>
      <c r="S4" s="222" t="s">
        <v>6595</v>
      </c>
      <c r="T4" s="84" t="s">
        <v>6596</v>
      </c>
      <c r="U4" s="222" t="s">
        <v>6597</v>
      </c>
      <c r="V4" s="222" t="s">
        <v>6598</v>
      </c>
      <c r="W4" s="222" t="s">
        <v>6599</v>
      </c>
      <c r="X4" s="222" t="s">
        <v>6600</v>
      </c>
      <c r="Y4" s="222" t="s">
        <v>6601</v>
      </c>
      <c r="Z4" s="222" t="s">
        <v>6602</v>
      </c>
      <c r="AH4" s="83" t="s">
        <v>6603</v>
      </c>
    </row>
    <row r="5" customFormat="false" ht="29.25" hidden="false" customHeight="true" outlineLevel="0" collapsed="false">
      <c r="A5" s="28" t="s">
        <v>2921</v>
      </c>
      <c r="B5" s="19" t="s">
        <v>7981</v>
      </c>
      <c r="C5" s="226" t="n">
        <v>0.096</v>
      </c>
      <c r="D5" s="224"/>
      <c r="E5" s="224"/>
      <c r="F5" s="28" t="s">
        <v>99</v>
      </c>
      <c r="G5" s="224" t="s">
        <v>7982</v>
      </c>
      <c r="H5" s="28" t="s">
        <v>1212</v>
      </c>
      <c r="I5" s="28" t="s">
        <v>6650</v>
      </c>
      <c r="J5" s="6" t="s">
        <v>7983</v>
      </c>
      <c r="K5" s="224" t="n">
        <v>1</v>
      </c>
      <c r="L5" s="224" t="s">
        <v>6717</v>
      </c>
      <c r="M5" s="6" t="s">
        <v>7984</v>
      </c>
      <c r="N5" s="224" t="s">
        <v>7205</v>
      </c>
      <c r="O5" s="28" t="s">
        <v>6613</v>
      </c>
      <c r="P5" s="28" t="s">
        <v>620</v>
      </c>
      <c r="Q5" s="28" t="s">
        <v>7985</v>
      </c>
      <c r="R5" s="28" t="s">
        <v>620</v>
      </c>
      <c r="S5" s="28" t="s">
        <v>620</v>
      </c>
      <c r="T5" s="28" t="s">
        <v>620</v>
      </c>
      <c r="U5" s="28" t="s">
        <v>7986</v>
      </c>
      <c r="V5" s="6" t="s">
        <v>7987</v>
      </c>
      <c r="W5" s="19" t="s">
        <v>7988</v>
      </c>
      <c r="X5" s="30" t="n">
        <f aca="false">IF($O5="Active",SUMPRODUCT(($AH$5:$AH$127=$AH5)*1),0)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7989</v>
      </c>
      <c r="B6" s="19" t="s">
        <v>7990</v>
      </c>
      <c r="C6" s="226" t="n">
        <v>0.226</v>
      </c>
      <c r="D6" s="224"/>
      <c r="E6" s="224"/>
      <c r="F6" s="28" t="s">
        <v>99</v>
      </c>
      <c r="G6" s="224" t="s">
        <v>125</v>
      </c>
      <c r="H6" s="28" t="s">
        <v>1256</v>
      </c>
      <c r="I6" s="28" t="s">
        <v>6650</v>
      </c>
      <c r="J6" s="6" t="s">
        <v>7983</v>
      </c>
      <c r="K6" s="224" t="n">
        <v>1</v>
      </c>
      <c r="L6" s="224" t="s">
        <v>6717</v>
      </c>
      <c r="M6" s="6" t="s">
        <v>7984</v>
      </c>
      <c r="N6" s="224" t="s">
        <v>7205</v>
      </c>
      <c r="O6" s="28" t="s">
        <v>6613</v>
      </c>
      <c r="P6" s="28" t="s">
        <v>620</v>
      </c>
      <c r="Q6" s="28" t="s">
        <v>7985</v>
      </c>
      <c r="R6" s="28" t="s">
        <v>620</v>
      </c>
      <c r="S6" s="28" t="s">
        <v>620</v>
      </c>
      <c r="T6" s="28" t="s">
        <v>620</v>
      </c>
      <c r="U6" s="28" t="s">
        <v>7986</v>
      </c>
      <c r="V6" s="6" t="s">
        <v>7987</v>
      </c>
      <c r="W6" s="6" t="s">
        <v>620</v>
      </c>
      <c r="X6" s="30" t="n">
        <f aca="false">IF($O6="Active",SUMPRODUCT(($AH$5:$AH$127=$AH6)*1),0)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7991</v>
      </c>
      <c r="B7" s="19" t="s">
        <v>7992</v>
      </c>
      <c r="C7" s="226" t="n">
        <v>0.123</v>
      </c>
      <c r="D7" s="224"/>
      <c r="E7" s="224"/>
      <c r="F7" s="28" t="s">
        <v>99</v>
      </c>
      <c r="G7" s="224" t="s">
        <v>125</v>
      </c>
      <c r="H7" s="28" t="s">
        <v>1241</v>
      </c>
      <c r="I7" s="28" t="s">
        <v>6650</v>
      </c>
      <c r="J7" s="6" t="s">
        <v>7983</v>
      </c>
      <c r="K7" s="224" t="n">
        <v>1</v>
      </c>
      <c r="L7" s="224" t="s">
        <v>6717</v>
      </c>
      <c r="M7" s="6" t="s">
        <v>7984</v>
      </c>
      <c r="N7" s="224" t="s">
        <v>7205</v>
      </c>
      <c r="O7" s="28" t="s">
        <v>6613</v>
      </c>
      <c r="P7" s="28" t="s">
        <v>620</v>
      </c>
      <c r="Q7" s="28" t="s">
        <v>7985</v>
      </c>
      <c r="R7" s="28" t="s">
        <v>620</v>
      </c>
      <c r="S7" s="28" t="s">
        <v>620</v>
      </c>
      <c r="T7" s="28" t="s">
        <v>620</v>
      </c>
      <c r="U7" s="28" t="s">
        <v>7986</v>
      </c>
      <c r="V7" s="6" t="s">
        <v>620</v>
      </c>
      <c r="W7" s="6" t="s">
        <v>620</v>
      </c>
      <c r="X7" s="30" t="n">
        <f aca="false">IF($O7="Active",SUMPRODUCT(($AH$5:$AH$127=$AH7)*1),0)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3018</v>
      </c>
      <c r="B8" s="6" t="s">
        <v>7993</v>
      </c>
      <c r="C8" s="226" t="n">
        <v>8.4</v>
      </c>
      <c r="D8" s="226" t="n">
        <v>7.5</v>
      </c>
      <c r="E8" s="226" t="n">
        <v>8.8</v>
      </c>
      <c r="F8" s="28" t="s">
        <v>879</v>
      </c>
      <c r="G8" s="224" t="s">
        <v>7994</v>
      </c>
      <c r="H8" s="28" t="s">
        <v>1212</v>
      </c>
      <c r="I8" s="28" t="s">
        <v>7214</v>
      </c>
      <c r="J8" s="6" t="s">
        <v>7995</v>
      </c>
      <c r="K8" s="224" t="n">
        <v>2</v>
      </c>
      <c r="L8" s="224" t="s">
        <v>6610</v>
      </c>
      <c r="M8" s="6" t="s">
        <v>7996</v>
      </c>
      <c r="N8" s="224" t="s">
        <v>6623</v>
      </c>
      <c r="O8" s="28" t="s">
        <v>6613</v>
      </c>
      <c r="P8" s="28" t="s">
        <v>620</v>
      </c>
      <c r="Q8" s="28" t="s">
        <v>7997</v>
      </c>
      <c r="R8" s="28" t="s">
        <v>620</v>
      </c>
      <c r="S8" s="28" t="s">
        <v>620</v>
      </c>
      <c r="T8" s="28" t="s">
        <v>620</v>
      </c>
      <c r="U8" s="28" t="s">
        <v>7998</v>
      </c>
      <c r="V8" s="6" t="s">
        <v>7999</v>
      </c>
      <c r="W8" s="19" t="s">
        <v>8000</v>
      </c>
      <c r="X8" s="30" t="n">
        <f aca="false">IF($O8="Active",SUMPRODUCT(($AH$5:$AH$127=$AH8)*1),0)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3027</v>
      </c>
      <c r="B9" s="6" t="s">
        <v>8001</v>
      </c>
      <c r="C9" s="226" t="n">
        <v>3.9</v>
      </c>
      <c r="D9" s="224"/>
      <c r="E9" s="224"/>
      <c r="F9" s="28" t="s">
        <v>879</v>
      </c>
      <c r="G9" s="224" t="s">
        <v>8002</v>
      </c>
      <c r="H9" s="28" t="s">
        <v>1212</v>
      </c>
      <c r="I9" s="28" t="s">
        <v>7214</v>
      </c>
      <c r="J9" s="6" t="s">
        <v>7995</v>
      </c>
      <c r="K9" s="224" t="n">
        <v>2</v>
      </c>
      <c r="L9" s="224" t="s">
        <v>6610</v>
      </c>
      <c r="M9" s="6" t="s">
        <v>7996</v>
      </c>
      <c r="N9" s="224" t="s">
        <v>6623</v>
      </c>
      <c r="O9" s="28" t="s">
        <v>6613</v>
      </c>
      <c r="P9" s="28" t="s">
        <v>620</v>
      </c>
      <c r="Q9" s="28" t="s">
        <v>7997</v>
      </c>
      <c r="R9" s="28" t="s">
        <v>620</v>
      </c>
      <c r="S9" s="28" t="s">
        <v>620</v>
      </c>
      <c r="T9" s="28" t="s">
        <v>620</v>
      </c>
      <c r="U9" s="28" t="s">
        <v>7998</v>
      </c>
      <c r="V9" s="6" t="s">
        <v>8003</v>
      </c>
      <c r="W9" s="19" t="s">
        <v>8004</v>
      </c>
      <c r="X9" s="30" t="n">
        <f aca="false">IF($O9="Active",SUMPRODUCT(($AH$5:$AH$127=$AH9)*1),0)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2967</v>
      </c>
      <c r="B10" s="6" t="s">
        <v>8005</v>
      </c>
      <c r="C10" s="226" t="n">
        <v>12</v>
      </c>
      <c r="D10" s="224"/>
      <c r="E10" s="224"/>
      <c r="F10" s="28" t="s">
        <v>879</v>
      </c>
      <c r="G10" s="224" t="s">
        <v>8006</v>
      </c>
      <c r="H10" s="28" t="s">
        <v>1212</v>
      </c>
      <c r="I10" s="28" t="s">
        <v>7214</v>
      </c>
      <c r="J10" s="6" t="s">
        <v>7995</v>
      </c>
      <c r="K10" s="224" t="n">
        <v>2</v>
      </c>
      <c r="L10" s="224" t="s">
        <v>6610</v>
      </c>
      <c r="M10" s="6" t="s">
        <v>7996</v>
      </c>
      <c r="N10" s="224" t="s">
        <v>6623</v>
      </c>
      <c r="O10" s="28" t="s">
        <v>6613</v>
      </c>
      <c r="P10" s="28" t="s">
        <v>620</v>
      </c>
      <c r="Q10" s="28" t="s">
        <v>7997</v>
      </c>
      <c r="R10" s="28" t="s">
        <v>620</v>
      </c>
      <c r="S10" s="28" t="s">
        <v>620</v>
      </c>
      <c r="T10" s="28" t="s">
        <v>620</v>
      </c>
      <c r="U10" s="28" t="s">
        <v>7998</v>
      </c>
      <c r="V10" s="6" t="s">
        <v>8007</v>
      </c>
      <c r="W10" s="6" t="s">
        <v>620</v>
      </c>
      <c r="X10" s="30" t="n">
        <f aca="false">IF($O10="Active",SUMPRODUCT(($AH$5:$AH$127=$AH10)*1),0)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2931</v>
      </c>
      <c r="B11" s="6" t="s">
        <v>8008</v>
      </c>
      <c r="C11" s="226" t="n">
        <v>13.07</v>
      </c>
      <c r="D11" s="224"/>
      <c r="E11" s="224"/>
      <c r="F11" s="28" t="s">
        <v>879</v>
      </c>
      <c r="G11" s="224" t="s">
        <v>8002</v>
      </c>
      <c r="H11" s="28" t="s">
        <v>1212</v>
      </c>
      <c r="I11" s="28" t="s">
        <v>7214</v>
      </c>
      <c r="J11" s="6" t="s">
        <v>7995</v>
      </c>
      <c r="K11" s="224" t="n">
        <v>2</v>
      </c>
      <c r="L11" s="224" t="s">
        <v>6610</v>
      </c>
      <c r="M11" s="6" t="s">
        <v>7996</v>
      </c>
      <c r="N11" s="224" t="s">
        <v>6623</v>
      </c>
      <c r="O11" s="28" t="s">
        <v>6613</v>
      </c>
      <c r="P11" s="28" t="s">
        <v>620</v>
      </c>
      <c r="Q11" s="28" t="s">
        <v>7997</v>
      </c>
      <c r="R11" s="28" t="s">
        <v>620</v>
      </c>
      <c r="S11" s="28" t="s">
        <v>620</v>
      </c>
      <c r="T11" s="28" t="s">
        <v>620</v>
      </c>
      <c r="U11" s="28" t="s">
        <v>7998</v>
      </c>
      <c r="V11" s="6" t="s">
        <v>8009</v>
      </c>
      <c r="W11" s="6" t="s">
        <v>8010</v>
      </c>
      <c r="X11" s="30" t="n">
        <f aca="false">IF($O11="Active",SUMPRODUCT(($AH$5:$AH$127=$AH11)*1),0)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8011</v>
      </c>
      <c r="B12" s="6" t="s">
        <v>8012</v>
      </c>
      <c r="C12" s="226" t="n">
        <v>0.6</v>
      </c>
      <c r="D12" s="224"/>
      <c r="E12" s="224"/>
      <c r="F12" s="28" t="s">
        <v>91</v>
      </c>
      <c r="G12" s="28" t="s">
        <v>8013</v>
      </c>
      <c r="H12" s="28" t="s">
        <v>1212</v>
      </c>
      <c r="I12" s="28" t="s">
        <v>8014</v>
      </c>
      <c r="J12" s="6" t="s">
        <v>7995</v>
      </c>
      <c r="K12" s="224" t="n">
        <v>2</v>
      </c>
      <c r="L12" s="224" t="s">
        <v>6610</v>
      </c>
      <c r="M12" s="6" t="s">
        <v>7996</v>
      </c>
      <c r="N12" s="224" t="s">
        <v>6623</v>
      </c>
      <c r="O12" s="28" t="s">
        <v>6613</v>
      </c>
      <c r="P12" s="28" t="s">
        <v>620</v>
      </c>
      <c r="Q12" s="28" t="s">
        <v>7997</v>
      </c>
      <c r="R12" s="28" t="s">
        <v>620</v>
      </c>
      <c r="S12" s="28" t="s">
        <v>620</v>
      </c>
      <c r="T12" s="28" t="s">
        <v>620</v>
      </c>
      <c r="U12" s="28" t="s">
        <v>7998</v>
      </c>
      <c r="V12" s="6" t="s">
        <v>8009</v>
      </c>
      <c r="W12" s="6" t="s">
        <v>620</v>
      </c>
      <c r="X12" s="30" t="n">
        <f aca="false">IF($O12="Active",SUMPRODUCT(($AH$5:$AH$127=$AH12)*1),0)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8015</v>
      </c>
      <c r="B13" s="6" t="s">
        <v>8016</v>
      </c>
      <c r="C13" s="226" t="n">
        <v>1.9</v>
      </c>
      <c r="D13" s="224"/>
      <c r="E13" s="224"/>
      <c r="F13" s="28" t="s">
        <v>91</v>
      </c>
      <c r="G13" s="224" t="s">
        <v>8017</v>
      </c>
      <c r="H13" s="28" t="s">
        <v>1212</v>
      </c>
      <c r="I13" s="28" t="s">
        <v>7214</v>
      </c>
      <c r="J13" s="6" t="s">
        <v>7995</v>
      </c>
      <c r="K13" s="224" t="n">
        <v>2</v>
      </c>
      <c r="L13" s="224" t="s">
        <v>6610</v>
      </c>
      <c r="M13" s="6" t="s">
        <v>7996</v>
      </c>
      <c r="N13" s="224" t="s">
        <v>6623</v>
      </c>
      <c r="O13" s="28" t="s">
        <v>6613</v>
      </c>
      <c r="P13" s="28" t="s">
        <v>620</v>
      </c>
      <c r="Q13" s="28" t="s">
        <v>7997</v>
      </c>
      <c r="R13" s="28" t="s">
        <v>620</v>
      </c>
      <c r="S13" s="28" t="s">
        <v>620</v>
      </c>
      <c r="T13" s="28" t="s">
        <v>620</v>
      </c>
      <c r="U13" s="28" t="s">
        <v>7998</v>
      </c>
      <c r="V13" s="6" t="s">
        <v>8009</v>
      </c>
      <c r="W13" s="6" t="s">
        <v>8018</v>
      </c>
      <c r="X13" s="30" t="n">
        <f aca="false">IF($O13="Active",SUMPRODUCT(($AH$5:$AH$127=$AH13)*1),0)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5484</v>
      </c>
      <c r="B14" s="6" t="s">
        <v>8019</v>
      </c>
      <c r="C14" s="226" t="n">
        <v>6</v>
      </c>
      <c r="D14" s="224"/>
      <c r="E14" s="224"/>
      <c r="F14" s="28" t="s">
        <v>8020</v>
      </c>
      <c r="G14" s="224" t="s">
        <v>8021</v>
      </c>
      <c r="H14" s="28" t="s">
        <v>1212</v>
      </c>
      <c r="I14" s="28" t="s">
        <v>8022</v>
      </c>
      <c r="J14" s="6" t="s">
        <v>8023</v>
      </c>
      <c r="K14" s="224" t="n">
        <v>2</v>
      </c>
      <c r="L14" s="224" t="s">
        <v>6610</v>
      </c>
      <c r="M14" s="6" t="s">
        <v>8024</v>
      </c>
      <c r="N14" s="224" t="s">
        <v>6623</v>
      </c>
      <c r="O14" s="28" t="s">
        <v>6613</v>
      </c>
      <c r="P14" s="28" t="s">
        <v>620</v>
      </c>
      <c r="Q14" s="28" t="s">
        <v>8025</v>
      </c>
      <c r="R14" s="28" t="s">
        <v>620</v>
      </c>
      <c r="S14" s="28" t="s">
        <v>620</v>
      </c>
      <c r="T14" s="28" t="s">
        <v>620</v>
      </c>
      <c r="U14" s="28" t="s">
        <v>8026</v>
      </c>
      <c r="V14" s="6" t="s">
        <v>8027</v>
      </c>
      <c r="W14" s="6" t="s">
        <v>8028</v>
      </c>
      <c r="X14" s="30" t="n">
        <f aca="false">IF($O14="Active",SUMPRODUCT(($AH$5:$AH$127=$AH14)*1),0)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5683</v>
      </c>
      <c r="B15" s="6" t="s">
        <v>8019</v>
      </c>
      <c r="C15" s="226" t="n">
        <v>15</v>
      </c>
      <c r="D15" s="224"/>
      <c r="E15" s="224"/>
      <c r="F15" s="28" t="s">
        <v>8020</v>
      </c>
      <c r="G15" s="224" t="s">
        <v>8029</v>
      </c>
      <c r="H15" s="28" t="s">
        <v>1212</v>
      </c>
      <c r="I15" s="28" t="s">
        <v>8030</v>
      </c>
      <c r="J15" s="6" t="s">
        <v>8031</v>
      </c>
      <c r="K15" s="224" t="n">
        <v>1</v>
      </c>
      <c r="L15" s="224" t="s">
        <v>6610</v>
      </c>
      <c r="M15" s="6" t="s">
        <v>8032</v>
      </c>
      <c r="N15" s="224" t="s">
        <v>6612</v>
      </c>
      <c r="O15" s="28" t="s">
        <v>6613</v>
      </c>
      <c r="P15" s="28" t="s">
        <v>620</v>
      </c>
      <c r="Q15" s="28" t="s">
        <v>8033</v>
      </c>
      <c r="R15" s="28" t="s">
        <v>620</v>
      </c>
      <c r="S15" s="28" t="s">
        <v>6120</v>
      </c>
      <c r="T15" s="28" t="s">
        <v>620</v>
      </c>
      <c r="U15" s="28" t="s">
        <v>8026</v>
      </c>
      <c r="V15" s="19" t="s">
        <v>8034</v>
      </c>
      <c r="W15" s="6" t="s">
        <v>8035</v>
      </c>
      <c r="X15" s="30" t="n">
        <f aca="false">IF($O15="Active",SUMPRODUCT(($AH$5:$AH$127=$AH15)*1),0)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5491</v>
      </c>
      <c r="B16" s="6" t="s">
        <v>8036</v>
      </c>
      <c r="C16" s="226" t="n">
        <v>2.5</v>
      </c>
      <c r="D16" s="224"/>
      <c r="E16" s="224"/>
      <c r="F16" s="28" t="s">
        <v>1521</v>
      </c>
      <c r="G16" s="224" t="s">
        <v>8037</v>
      </c>
      <c r="H16" s="28" t="s">
        <v>1212</v>
      </c>
      <c r="I16" s="28" t="s">
        <v>8038</v>
      </c>
      <c r="J16" s="6" t="s">
        <v>8039</v>
      </c>
      <c r="K16" s="224" t="n">
        <v>2</v>
      </c>
      <c r="L16" s="224" t="s">
        <v>6610</v>
      </c>
      <c r="M16" s="6" t="s">
        <v>8024</v>
      </c>
      <c r="N16" s="224" t="s">
        <v>6623</v>
      </c>
      <c r="O16" s="28" t="s">
        <v>6613</v>
      </c>
      <c r="P16" s="28" t="s">
        <v>620</v>
      </c>
      <c r="Q16" s="28" t="s">
        <v>8040</v>
      </c>
      <c r="R16" s="28" t="s">
        <v>620</v>
      </c>
      <c r="S16" s="28" t="s">
        <v>620</v>
      </c>
      <c r="T16" s="28" t="s">
        <v>620</v>
      </c>
      <c r="U16" s="28" t="s">
        <v>8026</v>
      </c>
      <c r="V16" s="6" t="s">
        <v>8041</v>
      </c>
      <c r="W16" s="6" t="s">
        <v>8042</v>
      </c>
      <c r="X16" s="30" t="n">
        <f aca="false">IF($O16="Active",SUMPRODUCT(($AH$5:$AH$127=$AH16)*1),0)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3034</v>
      </c>
      <c r="B17" s="19" t="s">
        <v>8043</v>
      </c>
      <c r="C17" s="224"/>
      <c r="D17" s="226" t="n">
        <v>10</v>
      </c>
      <c r="E17" s="226" t="n">
        <v>100</v>
      </c>
      <c r="F17" s="28" t="s">
        <v>1309</v>
      </c>
      <c r="G17" s="224" t="s">
        <v>8044</v>
      </c>
      <c r="H17" s="28" t="s">
        <v>8045</v>
      </c>
      <c r="I17" s="28" t="s">
        <v>7214</v>
      </c>
      <c r="J17" s="6" t="s">
        <v>8046</v>
      </c>
      <c r="K17" s="224" t="n">
        <v>1</v>
      </c>
      <c r="L17" s="224" t="s">
        <v>6717</v>
      </c>
      <c r="M17" s="6" t="s">
        <v>8047</v>
      </c>
      <c r="N17" s="224" t="s">
        <v>6612</v>
      </c>
      <c r="O17" s="28" t="s">
        <v>6613</v>
      </c>
      <c r="P17" s="28" t="s">
        <v>620</v>
      </c>
      <c r="Q17" s="28" t="s">
        <v>8048</v>
      </c>
      <c r="R17" s="28" t="s">
        <v>620</v>
      </c>
      <c r="S17" s="28" t="s">
        <v>6120</v>
      </c>
      <c r="T17" s="28" t="s">
        <v>620</v>
      </c>
      <c r="U17" s="28" t="s">
        <v>8026</v>
      </c>
      <c r="V17" s="6" t="s">
        <v>8049</v>
      </c>
      <c r="W17" s="19" t="s">
        <v>8050</v>
      </c>
      <c r="X17" s="30" t="n">
        <f aca="false">IF($O17="Active",SUMPRODUCT(($AH$5:$AH$127=$AH17)*1),0)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8051</v>
      </c>
      <c r="B18" s="6" t="s">
        <v>8052</v>
      </c>
      <c r="C18" s="226" t="n">
        <v>6000</v>
      </c>
      <c r="D18" s="198"/>
      <c r="E18" s="198"/>
      <c r="F18" s="28" t="s">
        <v>8053</v>
      </c>
      <c r="G18" s="198" t="s">
        <v>8054</v>
      </c>
      <c r="H18" s="28" t="s">
        <v>8055</v>
      </c>
      <c r="I18" s="28" t="s">
        <v>8056</v>
      </c>
      <c r="J18" s="6" t="s">
        <v>8057</v>
      </c>
      <c r="K18" s="198" t="n">
        <v>1</v>
      </c>
      <c r="L18" s="198" t="s">
        <v>6610</v>
      </c>
      <c r="M18" s="6" t="s">
        <v>8058</v>
      </c>
      <c r="N18" s="198" t="s">
        <v>6612</v>
      </c>
      <c r="O18" s="28" t="s">
        <v>6613</v>
      </c>
      <c r="P18" s="28" t="s">
        <v>620</v>
      </c>
      <c r="Q18" s="28" t="s">
        <v>8059</v>
      </c>
      <c r="R18" s="28" t="s">
        <v>620</v>
      </c>
      <c r="S18" s="28" t="s">
        <v>620</v>
      </c>
      <c r="T18" s="28" t="s">
        <v>620</v>
      </c>
      <c r="U18" s="28" t="s">
        <v>7328</v>
      </c>
      <c r="V18" s="6" t="s">
        <v>620</v>
      </c>
      <c r="W18" s="6" t="s">
        <v>8060</v>
      </c>
      <c r="X18" s="30" t="n">
        <f aca="false">IF($O18="Active",SUMPRODUCT(($AH$5:$AH$127=$AH18)*1),0)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8061</v>
      </c>
      <c r="B19" s="6" t="s">
        <v>8062</v>
      </c>
      <c r="C19" s="226" t="n">
        <v>400</v>
      </c>
      <c r="D19" s="198"/>
      <c r="E19" s="198"/>
      <c r="F19" s="28" t="s">
        <v>8053</v>
      </c>
      <c r="G19" s="198" t="s">
        <v>8063</v>
      </c>
      <c r="H19" s="28" t="s">
        <v>8055</v>
      </c>
      <c r="I19" s="28" t="s">
        <v>8056</v>
      </c>
      <c r="J19" s="6" t="s">
        <v>8057</v>
      </c>
      <c r="K19" s="198" t="n">
        <v>1</v>
      </c>
      <c r="L19" s="198" t="s">
        <v>6610</v>
      </c>
      <c r="M19" s="6" t="s">
        <v>8058</v>
      </c>
      <c r="N19" s="198" t="s">
        <v>6612</v>
      </c>
      <c r="O19" s="28" t="s">
        <v>6613</v>
      </c>
      <c r="P19" s="28" t="s">
        <v>620</v>
      </c>
      <c r="Q19" s="28" t="s">
        <v>8059</v>
      </c>
      <c r="R19" s="28" t="s">
        <v>620</v>
      </c>
      <c r="S19" s="28" t="s">
        <v>620</v>
      </c>
      <c r="T19" s="28" t="s">
        <v>620</v>
      </c>
      <c r="U19" s="28" t="s">
        <v>7328</v>
      </c>
      <c r="V19" s="6" t="s">
        <v>620</v>
      </c>
      <c r="W19" s="6" t="s">
        <v>8064</v>
      </c>
      <c r="X19" s="30" t="n">
        <f aca="false">IF($O19="Active",SUMPRODUCT(($AH$5:$AH$127=$AH19)*1),0)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8065</v>
      </c>
      <c r="B20" s="6" t="s">
        <v>8066</v>
      </c>
      <c r="C20" s="226" t="n">
        <v>3.5</v>
      </c>
      <c r="D20" s="226" t="n">
        <v>3</v>
      </c>
      <c r="E20" s="226" t="n">
        <v>4</v>
      </c>
      <c r="F20" s="198" t="s">
        <v>8067</v>
      </c>
      <c r="G20" s="198" t="s">
        <v>8068</v>
      </c>
      <c r="H20" s="28" t="s">
        <v>8055</v>
      </c>
      <c r="I20" s="28" t="s">
        <v>8056</v>
      </c>
      <c r="J20" s="6" t="s">
        <v>8057</v>
      </c>
      <c r="K20" s="198" t="n">
        <v>1</v>
      </c>
      <c r="L20" s="198" t="s">
        <v>6610</v>
      </c>
      <c r="M20" s="6" t="s">
        <v>8058</v>
      </c>
      <c r="N20" s="198" t="s">
        <v>6612</v>
      </c>
      <c r="O20" s="28" t="s">
        <v>6613</v>
      </c>
      <c r="P20" s="28" t="s">
        <v>620</v>
      </c>
      <c r="Q20" s="28" t="s">
        <v>8059</v>
      </c>
      <c r="R20" s="28" t="s">
        <v>620</v>
      </c>
      <c r="S20" s="28" t="s">
        <v>620</v>
      </c>
      <c r="T20" s="28" t="s">
        <v>620</v>
      </c>
      <c r="U20" s="28" t="s">
        <v>7328</v>
      </c>
      <c r="V20" s="6" t="s">
        <v>620</v>
      </c>
      <c r="W20" s="6" t="s">
        <v>8069</v>
      </c>
      <c r="X20" s="30" t="n">
        <f aca="false">IF($O20="Active",SUMPRODUCT(($AH$5:$AH$127=$AH20)*1),0)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8070</v>
      </c>
      <c r="B21" s="6" t="s">
        <v>8071</v>
      </c>
      <c r="C21" s="226" t="n">
        <v>0.5</v>
      </c>
      <c r="D21" s="226" t="n">
        <v>0.5</v>
      </c>
      <c r="E21" s="198"/>
      <c r="F21" s="28" t="s">
        <v>99</v>
      </c>
      <c r="G21" s="198" t="s">
        <v>8072</v>
      </c>
      <c r="H21" s="28" t="s">
        <v>8055</v>
      </c>
      <c r="I21" s="28" t="s">
        <v>8056</v>
      </c>
      <c r="J21" s="6" t="s">
        <v>8057</v>
      </c>
      <c r="K21" s="198" t="n">
        <v>1</v>
      </c>
      <c r="L21" s="198" t="s">
        <v>6610</v>
      </c>
      <c r="M21" s="6" t="s">
        <v>8058</v>
      </c>
      <c r="N21" s="198" t="s">
        <v>6612</v>
      </c>
      <c r="O21" s="28" t="s">
        <v>6613</v>
      </c>
      <c r="P21" s="28" t="s">
        <v>620</v>
      </c>
      <c r="Q21" s="28" t="s">
        <v>8059</v>
      </c>
      <c r="R21" s="28" t="s">
        <v>620</v>
      </c>
      <c r="S21" s="28" t="s">
        <v>620</v>
      </c>
      <c r="T21" s="28" t="s">
        <v>620</v>
      </c>
      <c r="U21" s="28" t="s">
        <v>7328</v>
      </c>
      <c r="V21" s="6" t="s">
        <v>620</v>
      </c>
      <c r="W21" s="6" t="s">
        <v>8073</v>
      </c>
      <c r="X21" s="30" t="n">
        <f aca="false">IF($O21="Active",SUMPRODUCT(($AH$5:$AH$127=$AH21)*1),0)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8074</v>
      </c>
      <c r="B22" s="6" t="s">
        <v>8075</v>
      </c>
      <c r="C22" s="226" t="n">
        <v>12.6</v>
      </c>
      <c r="D22" s="226" t="n">
        <v>12.3</v>
      </c>
      <c r="E22" s="226" t="n">
        <v>13</v>
      </c>
      <c r="F22" s="28" t="s">
        <v>879</v>
      </c>
      <c r="G22" s="28" t="s">
        <v>8076</v>
      </c>
      <c r="H22" s="28" t="s">
        <v>1212</v>
      </c>
      <c r="I22" s="28" t="s">
        <v>7214</v>
      </c>
      <c r="J22" s="6" t="s">
        <v>8077</v>
      </c>
      <c r="K22" s="198" t="n">
        <v>2</v>
      </c>
      <c r="L22" s="198" t="s">
        <v>6610</v>
      </c>
      <c r="M22" s="6" t="s">
        <v>8078</v>
      </c>
      <c r="N22" s="198" t="s">
        <v>8079</v>
      </c>
      <c r="O22" s="28" t="s">
        <v>6613</v>
      </c>
      <c r="P22" s="28" t="s">
        <v>620</v>
      </c>
      <c r="Q22" s="28" t="s">
        <v>8080</v>
      </c>
      <c r="R22" s="28" t="s">
        <v>620</v>
      </c>
      <c r="S22" s="28" t="s">
        <v>620</v>
      </c>
      <c r="T22" s="28" t="s">
        <v>620</v>
      </c>
      <c r="U22" s="28" t="s">
        <v>8081</v>
      </c>
      <c r="V22" s="6" t="s">
        <v>8082</v>
      </c>
      <c r="W22" s="6" t="s">
        <v>8083</v>
      </c>
      <c r="X22" s="30" t="n">
        <f aca="false">IF($O22="Active",SUMPRODUCT(($AH$5:$AH$127=$AH22)*1),0)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1291</v>
      </c>
      <c r="B23" s="6" t="s">
        <v>8084</v>
      </c>
      <c r="C23" s="226" t="n">
        <v>50</v>
      </c>
      <c r="D23" s="198"/>
      <c r="E23" s="198"/>
      <c r="F23" s="198" t="s">
        <v>1283</v>
      </c>
      <c r="G23" s="198" t="s">
        <v>8085</v>
      </c>
      <c r="H23" s="28" t="s">
        <v>8086</v>
      </c>
      <c r="I23" s="28" t="s">
        <v>8087</v>
      </c>
      <c r="J23" s="6" t="s">
        <v>8088</v>
      </c>
      <c r="K23" s="198" t="n">
        <v>1</v>
      </c>
      <c r="L23" s="198" t="s">
        <v>6610</v>
      </c>
      <c r="M23" s="6" t="s">
        <v>8089</v>
      </c>
      <c r="N23" s="198" t="s">
        <v>6612</v>
      </c>
      <c r="O23" s="28" t="s">
        <v>6613</v>
      </c>
      <c r="P23" s="28" t="s">
        <v>620</v>
      </c>
      <c r="Q23" s="28" t="s">
        <v>8090</v>
      </c>
      <c r="R23" s="28" t="s">
        <v>620</v>
      </c>
      <c r="S23" s="28" t="s">
        <v>620</v>
      </c>
      <c r="T23" s="28" t="s">
        <v>620</v>
      </c>
      <c r="U23" s="28" t="s">
        <v>8091</v>
      </c>
      <c r="V23" s="6" t="s">
        <v>8092</v>
      </c>
      <c r="W23" s="6" t="s">
        <v>8093</v>
      </c>
      <c r="X23" s="30" t="n">
        <f aca="false">IF($O23="Active",SUMPRODUCT(($AH$5:$AH$127=$AH23)*1),0)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8094</v>
      </c>
      <c r="B24" s="6" t="s">
        <v>8095</v>
      </c>
      <c r="C24" s="226" t="n">
        <v>9</v>
      </c>
      <c r="D24" s="198"/>
      <c r="E24" s="198"/>
      <c r="F24" s="198" t="s">
        <v>1283</v>
      </c>
      <c r="G24" s="198" t="s">
        <v>8096</v>
      </c>
      <c r="H24" s="28" t="s">
        <v>8086</v>
      </c>
      <c r="I24" s="28" t="s">
        <v>8087</v>
      </c>
      <c r="J24" s="6" t="s">
        <v>8088</v>
      </c>
      <c r="K24" s="198" t="n">
        <v>1</v>
      </c>
      <c r="L24" s="198" t="s">
        <v>6610</v>
      </c>
      <c r="M24" s="6" t="s">
        <v>8089</v>
      </c>
      <c r="N24" s="198" t="s">
        <v>6612</v>
      </c>
      <c r="O24" s="28" t="s">
        <v>6613</v>
      </c>
      <c r="P24" s="28" t="s">
        <v>620</v>
      </c>
      <c r="Q24" s="28" t="s">
        <v>8090</v>
      </c>
      <c r="R24" s="28" t="s">
        <v>620</v>
      </c>
      <c r="S24" s="28" t="s">
        <v>620</v>
      </c>
      <c r="T24" s="28" t="s">
        <v>620</v>
      </c>
      <c r="U24" s="28" t="s">
        <v>8091</v>
      </c>
      <c r="V24" s="228" t="s">
        <v>8097</v>
      </c>
      <c r="W24" s="6" t="s">
        <v>8098</v>
      </c>
      <c r="X24" s="30" t="n">
        <f aca="false">IF($O24="Active",SUMPRODUCT(($AH$5:$AH$127=$AH24)*1),0)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8099</v>
      </c>
      <c r="B25" s="6" t="s">
        <v>8100</v>
      </c>
      <c r="C25" s="226" t="n">
        <v>1.6</v>
      </c>
      <c r="D25" s="198"/>
      <c r="E25" s="198"/>
      <c r="F25" s="198" t="s">
        <v>1283</v>
      </c>
      <c r="G25" s="198" t="s">
        <v>8101</v>
      </c>
      <c r="H25" s="28" t="s">
        <v>8102</v>
      </c>
      <c r="I25" s="28" t="s">
        <v>8087</v>
      </c>
      <c r="J25" s="6" t="s">
        <v>8088</v>
      </c>
      <c r="K25" s="198" t="n">
        <v>1</v>
      </c>
      <c r="L25" s="198" t="s">
        <v>6610</v>
      </c>
      <c r="M25" s="6" t="s">
        <v>8089</v>
      </c>
      <c r="N25" s="198" t="s">
        <v>6612</v>
      </c>
      <c r="O25" s="28" t="s">
        <v>6613</v>
      </c>
      <c r="P25" s="28" t="s">
        <v>620</v>
      </c>
      <c r="Q25" s="28" t="s">
        <v>8090</v>
      </c>
      <c r="R25" s="28" t="s">
        <v>620</v>
      </c>
      <c r="S25" s="28" t="s">
        <v>620</v>
      </c>
      <c r="T25" s="28" t="s">
        <v>620</v>
      </c>
      <c r="U25" s="28" t="s">
        <v>8091</v>
      </c>
      <c r="V25" s="228" t="s">
        <v>8097</v>
      </c>
      <c r="W25" s="6" t="s">
        <v>8103</v>
      </c>
      <c r="X25" s="30" t="n">
        <f aca="false">IF($O25="Active",SUMPRODUCT(($AH$5:$AH$127=$AH25)*1),0)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8104</v>
      </c>
      <c r="B26" s="6" t="s">
        <v>8105</v>
      </c>
      <c r="C26" s="226" t="n">
        <v>2</v>
      </c>
      <c r="D26" s="198"/>
      <c r="E26" s="198"/>
      <c r="F26" s="28" t="s">
        <v>8106</v>
      </c>
      <c r="G26" s="198" t="s">
        <v>8107</v>
      </c>
      <c r="H26" s="28" t="s">
        <v>1212</v>
      </c>
      <c r="I26" s="28" t="s">
        <v>8030</v>
      </c>
      <c r="J26" s="6" t="s">
        <v>8108</v>
      </c>
      <c r="K26" s="198" t="n">
        <v>1</v>
      </c>
      <c r="L26" s="198" t="s">
        <v>6610</v>
      </c>
      <c r="M26" s="6" t="s">
        <v>8089</v>
      </c>
      <c r="N26" s="198" t="s">
        <v>6612</v>
      </c>
      <c r="O26" s="28" t="s">
        <v>6613</v>
      </c>
      <c r="P26" s="28" t="s">
        <v>620</v>
      </c>
      <c r="Q26" s="28" t="s">
        <v>8109</v>
      </c>
      <c r="R26" s="28" t="s">
        <v>620</v>
      </c>
      <c r="S26" s="28" t="s">
        <v>620</v>
      </c>
      <c r="T26" s="28" t="s">
        <v>620</v>
      </c>
      <c r="U26" s="28" t="s">
        <v>8091</v>
      </c>
      <c r="V26" s="228" t="s">
        <v>8097</v>
      </c>
      <c r="W26" s="6" t="s">
        <v>8110</v>
      </c>
      <c r="X26" s="30" t="n">
        <f aca="false">IF($O26="Active",SUMPRODUCT(($AH$5:$AH$127=$AH26)*1),0)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5671</v>
      </c>
      <c r="B27" s="6" t="s">
        <v>8111</v>
      </c>
      <c r="C27" s="226" t="n">
        <v>0.4</v>
      </c>
      <c r="D27" s="198"/>
      <c r="E27" s="198"/>
      <c r="F27" s="28" t="s">
        <v>99</v>
      </c>
      <c r="G27" s="198" t="s">
        <v>8112</v>
      </c>
      <c r="H27" s="28" t="s">
        <v>1212</v>
      </c>
      <c r="I27" s="28" t="s">
        <v>8030</v>
      </c>
      <c r="J27" s="6" t="s">
        <v>8108</v>
      </c>
      <c r="K27" s="198" t="n">
        <v>1</v>
      </c>
      <c r="L27" s="198" t="s">
        <v>6610</v>
      </c>
      <c r="M27" s="6" t="s">
        <v>8089</v>
      </c>
      <c r="N27" s="198" t="s">
        <v>6612</v>
      </c>
      <c r="O27" s="28" t="s">
        <v>6613</v>
      </c>
      <c r="P27" s="28" t="s">
        <v>620</v>
      </c>
      <c r="Q27" s="28" t="s">
        <v>8109</v>
      </c>
      <c r="R27" s="28" t="s">
        <v>620</v>
      </c>
      <c r="S27" s="28" t="s">
        <v>620</v>
      </c>
      <c r="T27" s="28" t="s">
        <v>620</v>
      </c>
      <c r="U27" s="28" t="s">
        <v>8091</v>
      </c>
      <c r="V27" s="228" t="s">
        <v>8097</v>
      </c>
      <c r="W27" s="6" t="s">
        <v>8113</v>
      </c>
      <c r="X27" s="30" t="n">
        <f aca="false">IF($O27="Active",SUMPRODUCT(($AH$5:$AH$127=$AH27)*1),0)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1284</v>
      </c>
      <c r="B28" s="6" t="s">
        <v>8084</v>
      </c>
      <c r="C28" s="226" t="n">
        <v>15.5</v>
      </c>
      <c r="D28" s="198"/>
      <c r="E28" s="198"/>
      <c r="F28" s="198" t="s">
        <v>1283</v>
      </c>
      <c r="G28" s="198" t="s">
        <v>8114</v>
      </c>
      <c r="H28" s="28" t="s">
        <v>8086</v>
      </c>
      <c r="I28" s="28" t="s">
        <v>8115</v>
      </c>
      <c r="J28" s="6" t="s">
        <v>8116</v>
      </c>
      <c r="K28" s="198" t="n">
        <v>2</v>
      </c>
      <c r="L28" s="198" t="s">
        <v>6610</v>
      </c>
      <c r="M28" s="6" t="s">
        <v>8117</v>
      </c>
      <c r="N28" s="198" t="s">
        <v>6623</v>
      </c>
      <c r="O28" s="28" t="s">
        <v>6613</v>
      </c>
      <c r="P28" s="28" t="s">
        <v>620</v>
      </c>
      <c r="Q28" s="28" t="s">
        <v>8118</v>
      </c>
      <c r="R28" s="28" t="s">
        <v>620</v>
      </c>
      <c r="S28" s="28" t="s">
        <v>620</v>
      </c>
      <c r="T28" s="28" t="s">
        <v>620</v>
      </c>
      <c r="U28" s="28" t="s">
        <v>8091</v>
      </c>
      <c r="V28" s="6" t="s">
        <v>8119</v>
      </c>
      <c r="W28" s="6" t="s">
        <v>8120</v>
      </c>
      <c r="X28" s="30" t="n">
        <f aca="false">IF($O28="Active",SUMPRODUCT(($AH$5:$AH$127=$AH28)*1),0)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1286</v>
      </c>
      <c r="B29" s="6" t="s">
        <v>8084</v>
      </c>
      <c r="C29" s="226" t="n">
        <v>20</v>
      </c>
      <c r="D29" s="198"/>
      <c r="E29" s="198"/>
      <c r="F29" s="198" t="s">
        <v>1283</v>
      </c>
      <c r="G29" s="198" t="s">
        <v>8121</v>
      </c>
      <c r="H29" s="28" t="s">
        <v>8086</v>
      </c>
      <c r="I29" s="28" t="s">
        <v>8115</v>
      </c>
      <c r="J29" s="6" t="s">
        <v>8122</v>
      </c>
      <c r="K29" s="198" t="n">
        <v>2</v>
      </c>
      <c r="L29" s="198" t="s">
        <v>6610</v>
      </c>
      <c r="M29" s="6" t="s">
        <v>8117</v>
      </c>
      <c r="N29" s="198" t="s">
        <v>6623</v>
      </c>
      <c r="O29" s="28" t="s">
        <v>6613</v>
      </c>
      <c r="P29" s="28" t="s">
        <v>620</v>
      </c>
      <c r="Q29" s="28" t="s">
        <v>8118</v>
      </c>
      <c r="R29" s="28" t="s">
        <v>620</v>
      </c>
      <c r="S29" s="28" t="s">
        <v>620</v>
      </c>
      <c r="T29" s="28" t="s">
        <v>620</v>
      </c>
      <c r="U29" s="28" t="s">
        <v>8091</v>
      </c>
      <c r="V29" s="6" t="s">
        <v>8123</v>
      </c>
      <c r="W29" s="6" t="s">
        <v>8124</v>
      </c>
      <c r="X29" s="30" t="n">
        <f aca="false">IF($O29="Active",SUMPRODUCT(($AH$5:$AH$127=$AH29)*1),0)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1288</v>
      </c>
      <c r="B30" s="6" t="s">
        <v>8084</v>
      </c>
      <c r="C30" s="226" t="n">
        <v>35</v>
      </c>
      <c r="D30" s="198"/>
      <c r="E30" s="198"/>
      <c r="F30" s="198" t="s">
        <v>1283</v>
      </c>
      <c r="G30" s="198" t="s">
        <v>8125</v>
      </c>
      <c r="H30" s="28" t="s">
        <v>8086</v>
      </c>
      <c r="I30" s="28" t="s">
        <v>8126</v>
      </c>
      <c r="J30" s="6" t="s">
        <v>8127</v>
      </c>
      <c r="K30" s="198" t="n">
        <v>2</v>
      </c>
      <c r="L30" s="198" t="s">
        <v>6610</v>
      </c>
      <c r="M30" s="6" t="s">
        <v>8128</v>
      </c>
      <c r="N30" s="198" t="s">
        <v>6623</v>
      </c>
      <c r="O30" s="28" t="s">
        <v>6613</v>
      </c>
      <c r="P30" s="28" t="s">
        <v>620</v>
      </c>
      <c r="Q30" s="28" t="s">
        <v>8129</v>
      </c>
      <c r="R30" s="28" t="s">
        <v>620</v>
      </c>
      <c r="S30" s="28" t="s">
        <v>620</v>
      </c>
      <c r="T30" s="28" t="s">
        <v>620</v>
      </c>
      <c r="U30" s="28" t="s">
        <v>8091</v>
      </c>
      <c r="V30" s="6" t="s">
        <v>8123</v>
      </c>
      <c r="W30" s="6" t="s">
        <v>8130</v>
      </c>
      <c r="X30" s="30" t="n">
        <f aca="false">IF($O30="Active",SUMPRODUCT(($AH$5:$AH$127=$AH30)*1),0)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8131</v>
      </c>
      <c r="B31" s="6" t="s">
        <v>8095</v>
      </c>
      <c r="C31" s="226" t="n">
        <v>2</v>
      </c>
      <c r="D31" s="198"/>
      <c r="E31" s="198"/>
      <c r="F31" s="198" t="s">
        <v>1283</v>
      </c>
      <c r="G31" s="198" t="s">
        <v>8132</v>
      </c>
      <c r="H31" s="28" t="s">
        <v>8086</v>
      </c>
      <c r="I31" s="28" t="s">
        <v>8133</v>
      </c>
      <c r="J31" s="6" t="s">
        <v>8134</v>
      </c>
      <c r="K31" s="198" t="n">
        <v>2</v>
      </c>
      <c r="L31" s="198" t="s">
        <v>6610</v>
      </c>
      <c r="M31" s="6" t="s">
        <v>8135</v>
      </c>
      <c r="N31" s="198" t="s">
        <v>6623</v>
      </c>
      <c r="O31" s="28" t="s">
        <v>6613</v>
      </c>
      <c r="P31" s="28" t="s">
        <v>620</v>
      </c>
      <c r="Q31" s="28" t="s">
        <v>8136</v>
      </c>
      <c r="R31" s="28" t="s">
        <v>620</v>
      </c>
      <c r="S31" s="28" t="s">
        <v>620</v>
      </c>
      <c r="T31" s="28" t="s">
        <v>620</v>
      </c>
      <c r="U31" s="28" t="s">
        <v>8091</v>
      </c>
      <c r="V31" s="228" t="s">
        <v>8097</v>
      </c>
      <c r="W31" s="6" t="s">
        <v>8137</v>
      </c>
      <c r="X31" s="30" t="n">
        <f aca="false">IF($O31="Active",SUMPRODUCT(($AH$5:$AH$127=$AH31)*1),0)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8138</v>
      </c>
      <c r="B32" s="6" t="s">
        <v>8095</v>
      </c>
      <c r="C32" s="226" t="n">
        <v>3</v>
      </c>
      <c r="D32" s="198"/>
      <c r="E32" s="198"/>
      <c r="F32" s="198" t="s">
        <v>1283</v>
      </c>
      <c r="G32" s="198" t="s">
        <v>8139</v>
      </c>
      <c r="H32" s="28" t="s">
        <v>8086</v>
      </c>
      <c r="I32" s="28" t="s">
        <v>8140</v>
      </c>
      <c r="J32" s="6" t="s">
        <v>8141</v>
      </c>
      <c r="K32" s="198" t="n">
        <v>2</v>
      </c>
      <c r="L32" s="198" t="s">
        <v>6610</v>
      </c>
      <c r="M32" s="6" t="s">
        <v>8142</v>
      </c>
      <c r="N32" s="198" t="s">
        <v>6623</v>
      </c>
      <c r="O32" s="28" t="s">
        <v>6613</v>
      </c>
      <c r="P32" s="28" t="s">
        <v>620</v>
      </c>
      <c r="Q32" s="28" t="s">
        <v>8136</v>
      </c>
      <c r="R32" s="28" t="s">
        <v>620</v>
      </c>
      <c r="S32" s="28" t="s">
        <v>620</v>
      </c>
      <c r="T32" s="28" t="s">
        <v>620</v>
      </c>
      <c r="U32" s="28" t="s">
        <v>8091</v>
      </c>
      <c r="V32" s="228" t="s">
        <v>8097</v>
      </c>
      <c r="W32" s="6" t="s">
        <v>8143</v>
      </c>
      <c r="X32" s="30" t="n">
        <f aca="false">IF($O32="Active",SUMPRODUCT(($AH$5:$AH$127=$AH32)*1),0)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8144</v>
      </c>
      <c r="B33" s="6" t="s">
        <v>8095</v>
      </c>
      <c r="C33" s="226" t="n">
        <v>5</v>
      </c>
      <c r="D33" s="198"/>
      <c r="E33" s="198"/>
      <c r="F33" s="198" t="s">
        <v>1283</v>
      </c>
      <c r="G33" s="198" t="s">
        <v>8145</v>
      </c>
      <c r="H33" s="28" t="s">
        <v>8086</v>
      </c>
      <c r="I33" s="28" t="s">
        <v>7024</v>
      </c>
      <c r="J33" s="6" t="s">
        <v>8146</v>
      </c>
      <c r="K33" s="198" t="n">
        <v>2</v>
      </c>
      <c r="L33" s="198" t="s">
        <v>6610</v>
      </c>
      <c r="M33" s="6" t="s">
        <v>8147</v>
      </c>
      <c r="N33" s="198" t="s">
        <v>6623</v>
      </c>
      <c r="O33" s="28" t="s">
        <v>6613</v>
      </c>
      <c r="P33" s="28" t="s">
        <v>620</v>
      </c>
      <c r="Q33" s="28" t="s">
        <v>8136</v>
      </c>
      <c r="R33" s="28" t="s">
        <v>620</v>
      </c>
      <c r="S33" s="28" t="s">
        <v>620</v>
      </c>
      <c r="T33" s="28" t="s">
        <v>620</v>
      </c>
      <c r="U33" s="28" t="s">
        <v>8091</v>
      </c>
      <c r="V33" s="228" t="s">
        <v>8097</v>
      </c>
      <c r="W33" s="6" t="s">
        <v>8148</v>
      </c>
      <c r="X33" s="30" t="n">
        <f aca="false">IF($O33="Active",SUMPRODUCT(($AH$5:$AH$127=$AH33)*1),0)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8149</v>
      </c>
      <c r="B34" s="6" t="s">
        <v>8150</v>
      </c>
      <c r="C34" s="226" t="n">
        <v>7</v>
      </c>
      <c r="D34" s="198"/>
      <c r="E34" s="198"/>
      <c r="F34" s="198" t="s">
        <v>1283</v>
      </c>
      <c r="G34" s="198" t="s">
        <v>8151</v>
      </c>
      <c r="H34" s="28" t="s">
        <v>8086</v>
      </c>
      <c r="I34" s="28" t="s">
        <v>8152</v>
      </c>
      <c r="J34" s="6" t="s">
        <v>8153</v>
      </c>
      <c r="K34" s="198" t="n">
        <v>1</v>
      </c>
      <c r="L34" s="198" t="s">
        <v>6610</v>
      </c>
      <c r="M34" s="6" t="s">
        <v>8089</v>
      </c>
      <c r="N34" s="198" t="s">
        <v>6612</v>
      </c>
      <c r="O34" s="28" t="s">
        <v>6613</v>
      </c>
      <c r="P34" s="28" t="s">
        <v>620</v>
      </c>
      <c r="Q34" s="28" t="s">
        <v>8136</v>
      </c>
      <c r="R34" s="28" t="s">
        <v>620</v>
      </c>
      <c r="S34" s="28" t="s">
        <v>620</v>
      </c>
      <c r="T34" s="28" t="s">
        <v>620</v>
      </c>
      <c r="U34" s="28" t="s">
        <v>8091</v>
      </c>
      <c r="V34" s="228" t="s">
        <v>8097</v>
      </c>
      <c r="W34" s="6" t="s">
        <v>8154</v>
      </c>
      <c r="X34" s="30" t="n">
        <f aca="false">IF($O34="Active",SUMPRODUCT(($AH$5:$AH$127=$AH34)*1),0)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8155</v>
      </c>
      <c r="B35" s="6" t="s">
        <v>8156</v>
      </c>
      <c r="C35" s="226" t="n">
        <v>4</v>
      </c>
      <c r="D35" s="198"/>
      <c r="E35" s="198"/>
      <c r="F35" s="198" t="s">
        <v>1283</v>
      </c>
      <c r="G35" s="198" t="s">
        <v>8157</v>
      </c>
      <c r="H35" s="28" t="s">
        <v>8158</v>
      </c>
      <c r="I35" s="28" t="s">
        <v>8022</v>
      </c>
      <c r="J35" s="6" t="s">
        <v>8159</v>
      </c>
      <c r="K35" s="198" t="n">
        <v>2</v>
      </c>
      <c r="L35" s="198" t="s">
        <v>6610</v>
      </c>
      <c r="M35" s="6" t="s">
        <v>8160</v>
      </c>
      <c r="N35" s="198" t="s">
        <v>6623</v>
      </c>
      <c r="O35" s="28" t="s">
        <v>6613</v>
      </c>
      <c r="P35" s="28" t="s">
        <v>620</v>
      </c>
      <c r="Q35" s="28" t="s">
        <v>8161</v>
      </c>
      <c r="R35" s="28" t="s">
        <v>620</v>
      </c>
      <c r="S35" s="28" t="s">
        <v>620</v>
      </c>
      <c r="T35" s="28" t="s">
        <v>620</v>
      </c>
      <c r="U35" s="28" t="s">
        <v>8091</v>
      </c>
      <c r="V35" s="228" t="s">
        <v>8162</v>
      </c>
      <c r="W35" s="6" t="s">
        <v>8163</v>
      </c>
      <c r="X35" s="30" t="n">
        <f aca="false">IF($O35="Active",SUMPRODUCT(($AH$5:$AH$127=$AH35)*1),0)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8164</v>
      </c>
      <c r="B36" s="6" t="s">
        <v>8165</v>
      </c>
      <c r="C36" s="226" t="n">
        <v>300000</v>
      </c>
      <c r="D36" s="198"/>
      <c r="E36" s="198"/>
      <c r="F36" s="198" t="s">
        <v>8166</v>
      </c>
      <c r="G36" s="198" t="s">
        <v>8167</v>
      </c>
      <c r="H36" s="28" t="s">
        <v>1223</v>
      </c>
      <c r="I36" s="28" t="s">
        <v>8168</v>
      </c>
      <c r="J36" s="6" t="s">
        <v>8169</v>
      </c>
      <c r="K36" s="198" t="n">
        <v>1</v>
      </c>
      <c r="L36" s="198" t="s">
        <v>6610</v>
      </c>
      <c r="M36" s="6" t="s">
        <v>8170</v>
      </c>
      <c r="N36" s="198" t="s">
        <v>6612</v>
      </c>
      <c r="O36" s="28" t="s">
        <v>6613</v>
      </c>
      <c r="P36" s="28" t="s">
        <v>620</v>
      </c>
      <c r="Q36" s="28" t="s">
        <v>8171</v>
      </c>
      <c r="R36" s="28" t="s">
        <v>620</v>
      </c>
      <c r="S36" s="28" t="s">
        <v>620</v>
      </c>
      <c r="T36" s="28" t="s">
        <v>620</v>
      </c>
      <c r="U36" s="28" t="s">
        <v>8091</v>
      </c>
      <c r="V36" s="228" t="s">
        <v>8172</v>
      </c>
      <c r="W36" s="6" t="s">
        <v>8173</v>
      </c>
      <c r="X36" s="30" t="n">
        <f aca="false">IF($O36="Active",SUMPRODUCT(($AH$5:$AH$127=$AH36)*1),0)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8174</v>
      </c>
      <c r="B37" s="6" t="s">
        <v>8175</v>
      </c>
      <c r="C37" s="226" t="n">
        <v>500</v>
      </c>
      <c r="D37" s="198"/>
      <c r="E37" s="198"/>
      <c r="F37" s="198" t="s">
        <v>8166</v>
      </c>
      <c r="G37" s="198" t="s">
        <v>8176</v>
      </c>
      <c r="H37" s="28" t="s">
        <v>1223</v>
      </c>
      <c r="I37" s="28" t="s">
        <v>8177</v>
      </c>
      <c r="J37" s="6" t="s">
        <v>8178</v>
      </c>
      <c r="K37" s="198" t="n">
        <v>1</v>
      </c>
      <c r="L37" s="198" t="s">
        <v>6610</v>
      </c>
      <c r="M37" s="6" t="s">
        <v>8170</v>
      </c>
      <c r="N37" s="198" t="s">
        <v>6612</v>
      </c>
      <c r="O37" s="28" t="s">
        <v>6613</v>
      </c>
      <c r="P37" s="28" t="s">
        <v>620</v>
      </c>
      <c r="Q37" s="28" t="s">
        <v>8171</v>
      </c>
      <c r="R37" s="28" t="s">
        <v>620</v>
      </c>
      <c r="S37" s="28" t="s">
        <v>620</v>
      </c>
      <c r="T37" s="28" t="s">
        <v>620</v>
      </c>
      <c r="U37" s="28" t="s">
        <v>8091</v>
      </c>
      <c r="V37" s="228" t="s">
        <v>8179</v>
      </c>
      <c r="W37" s="6" t="s">
        <v>8180</v>
      </c>
      <c r="X37" s="30" t="n">
        <f aca="false">IF($O37="Active",SUMPRODUCT(($AH$5:$AH$127=$AH37)*1),0)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2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8181</v>
      </c>
      <c r="B38" s="6" t="s">
        <v>8182</v>
      </c>
      <c r="C38" s="226" t="n">
        <v>3.8</v>
      </c>
      <c r="D38" s="198"/>
      <c r="E38" s="198"/>
      <c r="F38" s="28" t="s">
        <v>879</v>
      </c>
      <c r="G38" s="28" t="s">
        <v>8183</v>
      </c>
      <c r="H38" s="28" t="s">
        <v>1223</v>
      </c>
      <c r="I38" s="28" t="s">
        <v>7616</v>
      </c>
      <c r="J38" s="6" t="s">
        <v>8184</v>
      </c>
      <c r="K38" s="198" t="n">
        <v>2</v>
      </c>
      <c r="L38" s="198" t="s">
        <v>6610</v>
      </c>
      <c r="M38" s="6" t="s">
        <v>8185</v>
      </c>
      <c r="N38" s="198" t="s">
        <v>6623</v>
      </c>
      <c r="O38" s="28" t="s">
        <v>6613</v>
      </c>
      <c r="P38" s="28" t="s">
        <v>620</v>
      </c>
      <c r="Q38" s="28" t="s">
        <v>8186</v>
      </c>
      <c r="R38" s="28" t="s">
        <v>620</v>
      </c>
      <c r="S38" s="28" t="s">
        <v>620</v>
      </c>
      <c r="T38" s="28" t="s">
        <v>620</v>
      </c>
      <c r="U38" s="28" t="s">
        <v>8091</v>
      </c>
      <c r="V38" s="228" t="s">
        <v>8187</v>
      </c>
      <c r="W38" s="6" t="s">
        <v>8188</v>
      </c>
      <c r="X38" s="30" t="n">
        <f aca="false">IF($O38="Active",SUMPRODUCT(($AH$5:$AH$127=$AH38)*1),0)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8189</v>
      </c>
      <c r="B39" s="6" t="s">
        <v>8190</v>
      </c>
      <c r="C39" s="226" t="n">
        <v>0.789</v>
      </c>
      <c r="D39" s="198"/>
      <c r="E39" s="198"/>
      <c r="F39" s="28" t="s">
        <v>879</v>
      </c>
      <c r="G39" s="28" t="s">
        <v>8191</v>
      </c>
      <c r="H39" s="28" t="s">
        <v>1223</v>
      </c>
      <c r="I39" s="28" t="s">
        <v>7616</v>
      </c>
      <c r="J39" s="6" t="s">
        <v>8184</v>
      </c>
      <c r="K39" s="198" t="n">
        <v>2</v>
      </c>
      <c r="L39" s="198" t="s">
        <v>6610</v>
      </c>
      <c r="M39" s="6" t="s">
        <v>8185</v>
      </c>
      <c r="N39" s="198" t="s">
        <v>6623</v>
      </c>
      <c r="O39" s="28" t="s">
        <v>6613</v>
      </c>
      <c r="P39" s="28" t="s">
        <v>620</v>
      </c>
      <c r="Q39" s="28" t="s">
        <v>8186</v>
      </c>
      <c r="R39" s="28" t="s">
        <v>620</v>
      </c>
      <c r="S39" s="28" t="s">
        <v>620</v>
      </c>
      <c r="T39" s="28" t="s">
        <v>620</v>
      </c>
      <c r="U39" s="28" t="s">
        <v>8091</v>
      </c>
      <c r="V39" s="228" t="s">
        <v>8192</v>
      </c>
      <c r="W39" s="6" t="s">
        <v>8188</v>
      </c>
      <c r="X39" s="30" t="n">
        <f aca="false">IF($O39="Active",SUMPRODUCT(($AH$5:$AH$127=$AH39)*1),0)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8193</v>
      </c>
      <c r="B40" s="6" t="s">
        <v>8194</v>
      </c>
      <c r="C40" s="226" t="n">
        <v>2.16</v>
      </c>
      <c r="D40" s="198"/>
      <c r="E40" s="198"/>
      <c r="F40" s="28" t="s">
        <v>879</v>
      </c>
      <c r="G40" s="28" t="s">
        <v>8195</v>
      </c>
      <c r="H40" s="28" t="s">
        <v>1223</v>
      </c>
      <c r="I40" s="28" t="s">
        <v>7616</v>
      </c>
      <c r="J40" s="6" t="s">
        <v>8184</v>
      </c>
      <c r="K40" s="198" t="n">
        <v>2</v>
      </c>
      <c r="L40" s="198" t="s">
        <v>6610</v>
      </c>
      <c r="M40" s="6" t="s">
        <v>8185</v>
      </c>
      <c r="N40" s="198" t="s">
        <v>6623</v>
      </c>
      <c r="O40" s="28" t="s">
        <v>6613</v>
      </c>
      <c r="P40" s="28" t="s">
        <v>620</v>
      </c>
      <c r="Q40" s="28" t="s">
        <v>8186</v>
      </c>
      <c r="R40" s="28" t="s">
        <v>620</v>
      </c>
      <c r="S40" s="28" t="s">
        <v>620</v>
      </c>
      <c r="T40" s="28" t="s">
        <v>620</v>
      </c>
      <c r="U40" s="28" t="s">
        <v>8091</v>
      </c>
      <c r="V40" s="228" t="s">
        <v>8192</v>
      </c>
      <c r="W40" s="6" t="s">
        <v>8188</v>
      </c>
      <c r="X40" s="30" t="n">
        <f aca="false">IF($O40="Active",SUMPRODUCT(($AH$5:$AH$127=$AH40)*1),0)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8196</v>
      </c>
      <c r="B41" s="6" t="s">
        <v>8197</v>
      </c>
      <c r="C41" s="226" t="n">
        <v>0.351</v>
      </c>
      <c r="D41" s="198"/>
      <c r="E41" s="198"/>
      <c r="F41" s="28" t="s">
        <v>879</v>
      </c>
      <c r="G41" s="28" t="s">
        <v>8198</v>
      </c>
      <c r="H41" s="28" t="s">
        <v>1223</v>
      </c>
      <c r="I41" s="28" t="s">
        <v>7616</v>
      </c>
      <c r="J41" s="6" t="s">
        <v>8199</v>
      </c>
      <c r="K41" s="198" t="n">
        <v>2</v>
      </c>
      <c r="L41" s="198" t="s">
        <v>6610</v>
      </c>
      <c r="M41" s="6" t="s">
        <v>8185</v>
      </c>
      <c r="N41" s="198" t="s">
        <v>6623</v>
      </c>
      <c r="O41" s="28" t="s">
        <v>6613</v>
      </c>
      <c r="P41" s="28" t="s">
        <v>620</v>
      </c>
      <c r="Q41" s="28" t="s">
        <v>8186</v>
      </c>
      <c r="R41" s="28" t="s">
        <v>620</v>
      </c>
      <c r="S41" s="28" t="s">
        <v>620</v>
      </c>
      <c r="T41" s="28" t="s">
        <v>620</v>
      </c>
      <c r="U41" s="28" t="s">
        <v>8091</v>
      </c>
      <c r="V41" s="228" t="s">
        <v>8200</v>
      </c>
      <c r="W41" s="6" t="s">
        <v>8188</v>
      </c>
      <c r="X41" s="30" t="n">
        <f aca="false">IF($O41="Active",SUMPRODUCT(($AH$5:$AH$127=$AH41)*1),0)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8201</v>
      </c>
      <c r="B42" s="6" t="s">
        <v>8202</v>
      </c>
      <c r="C42" s="226" t="n">
        <v>0.75</v>
      </c>
      <c r="D42" s="198"/>
      <c r="E42" s="198"/>
      <c r="F42" s="28" t="s">
        <v>99</v>
      </c>
      <c r="G42" s="198" t="s">
        <v>8203</v>
      </c>
      <c r="H42" s="28" t="s">
        <v>1212</v>
      </c>
      <c r="I42" s="28" t="s">
        <v>8204</v>
      </c>
      <c r="J42" s="6" t="s">
        <v>8205</v>
      </c>
      <c r="K42" s="198" t="n">
        <v>2</v>
      </c>
      <c r="L42" s="198" t="s">
        <v>6610</v>
      </c>
      <c r="M42" s="6" t="s">
        <v>8206</v>
      </c>
      <c r="N42" s="198" t="s">
        <v>6623</v>
      </c>
      <c r="O42" s="28" t="s">
        <v>6613</v>
      </c>
      <c r="P42" s="28" t="s">
        <v>620</v>
      </c>
      <c r="Q42" s="28" t="s">
        <v>8207</v>
      </c>
      <c r="R42" s="28" t="s">
        <v>620</v>
      </c>
      <c r="S42" s="28" t="s">
        <v>620</v>
      </c>
      <c r="T42" s="28" t="s">
        <v>620</v>
      </c>
      <c r="U42" s="28" t="s">
        <v>8091</v>
      </c>
      <c r="V42" s="228" t="s">
        <v>8097</v>
      </c>
      <c r="W42" s="6" t="s">
        <v>8208</v>
      </c>
      <c r="X42" s="30" t="n">
        <f aca="false">IF($O42="Active",SUMPRODUCT(($AH$5:$AH$127=$AH42)*1),0)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5588</v>
      </c>
      <c r="B43" s="6" t="s">
        <v>8202</v>
      </c>
      <c r="C43" s="226" t="n">
        <v>0.7</v>
      </c>
      <c r="D43" s="198"/>
      <c r="E43" s="198"/>
      <c r="F43" s="28" t="s">
        <v>99</v>
      </c>
      <c r="G43" s="28" t="s">
        <v>8209</v>
      </c>
      <c r="H43" s="28" t="s">
        <v>1212</v>
      </c>
      <c r="I43" s="28" t="s">
        <v>8210</v>
      </c>
      <c r="J43" s="6" t="s">
        <v>8211</v>
      </c>
      <c r="K43" s="198" t="n">
        <v>2</v>
      </c>
      <c r="L43" s="198" t="s">
        <v>6610</v>
      </c>
      <c r="M43" s="6" t="s">
        <v>8117</v>
      </c>
      <c r="N43" s="198" t="s">
        <v>6623</v>
      </c>
      <c r="O43" s="28" t="s">
        <v>6613</v>
      </c>
      <c r="P43" s="28" t="s">
        <v>620</v>
      </c>
      <c r="Q43" s="28" t="s">
        <v>8207</v>
      </c>
      <c r="R43" s="28" t="s">
        <v>620</v>
      </c>
      <c r="S43" s="28" t="s">
        <v>620</v>
      </c>
      <c r="T43" s="28" t="s">
        <v>620</v>
      </c>
      <c r="U43" s="28" t="s">
        <v>8091</v>
      </c>
      <c r="V43" s="6" t="s">
        <v>8212</v>
      </c>
      <c r="W43" s="6" t="s">
        <v>8213</v>
      </c>
      <c r="X43" s="30" t="n">
        <f aca="false">IF($O43="Active",SUMPRODUCT(($AH$5:$AH$127=$AH43)*1),0)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8214</v>
      </c>
      <c r="B44" s="6" t="s">
        <v>8215</v>
      </c>
      <c r="C44" s="226" t="n">
        <v>2.7</v>
      </c>
      <c r="D44" s="198"/>
      <c r="E44" s="198"/>
      <c r="F44" s="28" t="s">
        <v>879</v>
      </c>
      <c r="G44" s="28" t="s">
        <v>8216</v>
      </c>
      <c r="H44" s="28" t="s">
        <v>1212</v>
      </c>
      <c r="I44" s="28" t="s">
        <v>8217</v>
      </c>
      <c r="J44" s="6" t="s">
        <v>8218</v>
      </c>
      <c r="K44" s="198" t="n">
        <v>2</v>
      </c>
      <c r="L44" s="198" t="s">
        <v>6610</v>
      </c>
      <c r="M44" s="6" t="s">
        <v>8219</v>
      </c>
      <c r="N44" s="198" t="s">
        <v>6623</v>
      </c>
      <c r="O44" s="28" t="s">
        <v>6613</v>
      </c>
      <c r="P44" s="28" t="s">
        <v>620</v>
      </c>
      <c r="Q44" s="28" t="s">
        <v>8207</v>
      </c>
      <c r="R44" s="28" t="s">
        <v>620</v>
      </c>
      <c r="S44" s="28" t="s">
        <v>620</v>
      </c>
      <c r="T44" s="28" t="s">
        <v>620</v>
      </c>
      <c r="U44" s="28" t="s">
        <v>8091</v>
      </c>
      <c r="V44" s="228" t="s">
        <v>8097</v>
      </c>
      <c r="W44" s="6" t="s">
        <v>8220</v>
      </c>
      <c r="X44" s="30" t="n">
        <f aca="false">IF($O44="Active",SUMPRODUCT(($AH$5:$AH$127=$AH44)*1),0)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8221</v>
      </c>
      <c r="B45" s="6" t="s">
        <v>8222</v>
      </c>
      <c r="C45" s="226" t="n">
        <v>8</v>
      </c>
      <c r="D45" s="198"/>
      <c r="E45" s="198"/>
      <c r="F45" s="28" t="s">
        <v>879</v>
      </c>
      <c r="G45" s="28" t="s">
        <v>8223</v>
      </c>
      <c r="H45" s="28" t="s">
        <v>1212</v>
      </c>
      <c r="I45" s="28" t="s">
        <v>8224</v>
      </c>
      <c r="J45" s="6" t="s">
        <v>8225</v>
      </c>
      <c r="K45" s="198" t="n">
        <v>2</v>
      </c>
      <c r="L45" s="198" t="s">
        <v>6610</v>
      </c>
      <c r="M45" s="6" t="s">
        <v>8226</v>
      </c>
      <c r="N45" s="198" t="s">
        <v>6623</v>
      </c>
      <c r="O45" s="28" t="s">
        <v>6613</v>
      </c>
      <c r="P45" s="28" t="s">
        <v>620</v>
      </c>
      <c r="Q45" s="28" t="s">
        <v>8207</v>
      </c>
      <c r="R45" s="28" t="s">
        <v>620</v>
      </c>
      <c r="S45" s="28" t="s">
        <v>620</v>
      </c>
      <c r="T45" s="28" t="s">
        <v>620</v>
      </c>
      <c r="U45" s="28" t="s">
        <v>8091</v>
      </c>
      <c r="V45" s="6" t="s">
        <v>8227</v>
      </c>
      <c r="W45" s="6" t="s">
        <v>8228</v>
      </c>
      <c r="X45" s="30" t="n">
        <f aca="false">IF($O45="Active",SUMPRODUCT(($AH$5:$AH$127=$AH45)*1),0)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5664</v>
      </c>
      <c r="B46" s="6" t="s">
        <v>8229</v>
      </c>
      <c r="C46" s="226" t="n">
        <v>6.7</v>
      </c>
      <c r="D46" s="198"/>
      <c r="E46" s="198"/>
      <c r="F46" s="28" t="s">
        <v>879</v>
      </c>
      <c r="G46" s="28" t="s">
        <v>8230</v>
      </c>
      <c r="H46" s="28" t="s">
        <v>1212</v>
      </c>
      <c r="I46" s="28" t="s">
        <v>8231</v>
      </c>
      <c r="J46" s="6" t="s">
        <v>8232</v>
      </c>
      <c r="K46" s="198" t="n">
        <v>2</v>
      </c>
      <c r="L46" s="198" t="s">
        <v>6610</v>
      </c>
      <c r="M46" s="6" t="s">
        <v>8117</v>
      </c>
      <c r="N46" s="198" t="s">
        <v>6623</v>
      </c>
      <c r="O46" s="28" t="s">
        <v>6613</v>
      </c>
      <c r="P46" s="28" t="s">
        <v>620</v>
      </c>
      <c r="Q46" s="28" t="s">
        <v>8233</v>
      </c>
      <c r="R46" s="28" t="s">
        <v>620</v>
      </c>
      <c r="S46" s="28" t="s">
        <v>620</v>
      </c>
      <c r="T46" s="28" t="s">
        <v>620</v>
      </c>
      <c r="U46" s="28" t="s">
        <v>8091</v>
      </c>
      <c r="V46" s="228" t="s">
        <v>8097</v>
      </c>
      <c r="W46" s="6" t="s">
        <v>8234</v>
      </c>
      <c r="X46" s="30" t="n">
        <f aca="false">IF($O46="Active",SUMPRODUCT(($AH$5:$AH$127=$AH46)*1),0)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8235</v>
      </c>
      <c r="B47" s="6" t="s">
        <v>8236</v>
      </c>
      <c r="C47" s="226" t="n">
        <v>0.2</v>
      </c>
      <c r="D47" s="198"/>
      <c r="E47" s="198"/>
      <c r="F47" s="28" t="s">
        <v>99</v>
      </c>
      <c r="G47" s="28" t="s">
        <v>8237</v>
      </c>
      <c r="H47" s="28" t="s">
        <v>8238</v>
      </c>
      <c r="I47" s="28" t="s">
        <v>8239</v>
      </c>
      <c r="J47" s="6" t="s">
        <v>8240</v>
      </c>
      <c r="K47" s="198" t="n">
        <v>2</v>
      </c>
      <c r="L47" s="198" t="s">
        <v>6610</v>
      </c>
      <c r="M47" s="228" t="s">
        <v>8241</v>
      </c>
      <c r="N47" s="198" t="s">
        <v>6623</v>
      </c>
      <c r="O47" s="28" t="s">
        <v>6613</v>
      </c>
      <c r="P47" s="28" t="s">
        <v>620</v>
      </c>
      <c r="Q47" s="28" t="s">
        <v>8242</v>
      </c>
      <c r="R47" s="28" t="s">
        <v>620</v>
      </c>
      <c r="S47" s="28" t="s">
        <v>620</v>
      </c>
      <c r="T47" s="28" t="s">
        <v>620</v>
      </c>
      <c r="U47" s="28" t="s">
        <v>8091</v>
      </c>
      <c r="V47" s="228" t="s">
        <v>8243</v>
      </c>
      <c r="W47" s="6" t="s">
        <v>8244</v>
      </c>
      <c r="X47" s="30" t="n">
        <f aca="false">IF($O47="Active",SUMPRODUCT(($AH$5:$AH$127=$AH47)*1),0)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8245</v>
      </c>
      <c r="B48" s="6" t="s">
        <v>8246</v>
      </c>
      <c r="C48" s="226" t="n">
        <v>13</v>
      </c>
      <c r="D48" s="198"/>
      <c r="E48" s="226" t="n">
        <v>30</v>
      </c>
      <c r="F48" s="28" t="s">
        <v>1333</v>
      </c>
      <c r="G48" s="198" t="s">
        <v>8247</v>
      </c>
      <c r="H48" s="28" t="s">
        <v>8248</v>
      </c>
      <c r="I48" s="28" t="s">
        <v>6358</v>
      </c>
      <c r="J48" s="6" t="s">
        <v>8249</v>
      </c>
      <c r="K48" s="198" t="n">
        <v>1</v>
      </c>
      <c r="L48" s="198" t="s">
        <v>6610</v>
      </c>
      <c r="M48" s="6" t="s">
        <v>8250</v>
      </c>
      <c r="N48" s="198" t="s">
        <v>6612</v>
      </c>
      <c r="O48" s="28" t="s">
        <v>6613</v>
      </c>
      <c r="P48" s="28" t="s">
        <v>620</v>
      </c>
      <c r="Q48" s="28" t="s">
        <v>8251</v>
      </c>
      <c r="R48" s="28" t="s">
        <v>620</v>
      </c>
      <c r="S48" s="28" t="s">
        <v>620</v>
      </c>
      <c r="T48" s="28" t="s">
        <v>620</v>
      </c>
      <c r="U48" s="28" t="s">
        <v>8091</v>
      </c>
      <c r="V48" s="6" t="s">
        <v>8252</v>
      </c>
      <c r="W48" s="6" t="s">
        <v>8253</v>
      </c>
      <c r="X48" s="30" t="n">
        <f aca="false">IF($O48="Active",SUMPRODUCT(($AH$5:$AH$127=$AH48)*1),0)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8254</v>
      </c>
      <c r="B49" s="6" t="s">
        <v>8255</v>
      </c>
      <c r="C49" s="226" t="n">
        <v>6</v>
      </c>
      <c r="D49" s="198"/>
      <c r="E49" s="198"/>
      <c r="F49" s="198" t="s">
        <v>8067</v>
      </c>
      <c r="G49" s="28" t="s">
        <v>8256</v>
      </c>
      <c r="H49" s="28" t="s">
        <v>8257</v>
      </c>
      <c r="I49" s="28" t="s">
        <v>8258</v>
      </c>
      <c r="J49" s="6" t="s">
        <v>8259</v>
      </c>
      <c r="K49" s="198" t="n">
        <v>1</v>
      </c>
      <c r="L49" s="198" t="s">
        <v>6610</v>
      </c>
      <c r="M49" s="6" t="s">
        <v>8089</v>
      </c>
      <c r="N49" s="198" t="s">
        <v>6612</v>
      </c>
      <c r="O49" s="28" t="s">
        <v>6613</v>
      </c>
      <c r="P49" s="28" t="s">
        <v>620</v>
      </c>
      <c r="Q49" s="28" t="s">
        <v>8260</v>
      </c>
      <c r="R49" s="28" t="s">
        <v>620</v>
      </c>
      <c r="S49" s="28" t="s">
        <v>620</v>
      </c>
      <c r="T49" s="28" t="s">
        <v>620</v>
      </c>
      <c r="U49" s="28" t="s">
        <v>8091</v>
      </c>
      <c r="V49" s="228" t="s">
        <v>8261</v>
      </c>
      <c r="W49" s="6" t="s">
        <v>8262</v>
      </c>
      <c r="X49" s="30" t="n">
        <f aca="false">IF($O49="Active",SUMPRODUCT(($AH$5:$AH$127=$AH49)*1),0)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8263</v>
      </c>
      <c r="B50" s="228" t="s">
        <v>8264</v>
      </c>
      <c r="C50" s="226" t="n">
        <v>0.993</v>
      </c>
      <c r="D50" s="198"/>
      <c r="E50" s="198"/>
      <c r="F50" s="28" t="s">
        <v>99</v>
      </c>
      <c r="G50" s="28" t="s">
        <v>8265</v>
      </c>
      <c r="H50" s="28" t="s">
        <v>8266</v>
      </c>
      <c r="I50" s="28" t="s">
        <v>8267</v>
      </c>
      <c r="J50" s="6" t="s">
        <v>8268</v>
      </c>
      <c r="K50" s="198" t="n">
        <v>1</v>
      </c>
      <c r="L50" s="198" t="s">
        <v>6717</v>
      </c>
      <c r="M50" s="228" t="s">
        <v>8269</v>
      </c>
      <c r="N50" s="198" t="s">
        <v>6612</v>
      </c>
      <c r="O50" s="28" t="s">
        <v>6613</v>
      </c>
      <c r="P50" s="28" t="s">
        <v>620</v>
      </c>
      <c r="Q50" s="28" t="s">
        <v>8270</v>
      </c>
      <c r="R50" s="28" t="s">
        <v>620</v>
      </c>
      <c r="S50" s="28" t="s">
        <v>620</v>
      </c>
      <c r="T50" s="28" t="s">
        <v>620</v>
      </c>
      <c r="U50" s="28" t="s">
        <v>8091</v>
      </c>
      <c r="V50" s="6" t="s">
        <v>8271</v>
      </c>
      <c r="W50" s="6" t="s">
        <v>8272</v>
      </c>
      <c r="X50" s="30" t="n">
        <f aca="false">IF($O50="Active",SUMPRODUCT(($AH$5:$AH$127=$AH50)*1),0)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2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8273</v>
      </c>
      <c r="B51" s="228" t="s">
        <v>8274</v>
      </c>
      <c r="C51" s="226" t="n">
        <v>0.9987</v>
      </c>
      <c r="D51" s="198"/>
      <c r="E51" s="198"/>
      <c r="F51" s="28" t="s">
        <v>99</v>
      </c>
      <c r="G51" s="28" t="s">
        <v>8275</v>
      </c>
      <c r="H51" s="28" t="s">
        <v>8266</v>
      </c>
      <c r="I51" s="28" t="s">
        <v>8267</v>
      </c>
      <c r="J51" s="6" t="s">
        <v>8268</v>
      </c>
      <c r="K51" s="198" t="n">
        <v>1</v>
      </c>
      <c r="L51" s="198" t="s">
        <v>6717</v>
      </c>
      <c r="M51" s="228" t="s">
        <v>8269</v>
      </c>
      <c r="N51" s="198" t="s">
        <v>6612</v>
      </c>
      <c r="O51" s="28" t="s">
        <v>6613</v>
      </c>
      <c r="P51" s="28" t="s">
        <v>620</v>
      </c>
      <c r="Q51" s="28" t="s">
        <v>8270</v>
      </c>
      <c r="R51" s="28" t="s">
        <v>620</v>
      </c>
      <c r="S51" s="28" t="s">
        <v>620</v>
      </c>
      <c r="T51" s="28" t="s">
        <v>620</v>
      </c>
      <c r="U51" s="28" t="s">
        <v>8091</v>
      </c>
      <c r="V51" s="6" t="s">
        <v>8276</v>
      </c>
      <c r="W51" s="6" t="s">
        <v>8277</v>
      </c>
      <c r="X51" s="30" t="n">
        <f aca="false">IF($O51="Active",SUMPRODUCT(($AH$5:$AH$127=$AH51)*1),0)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2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8278</v>
      </c>
      <c r="B52" s="6" t="s">
        <v>8279</v>
      </c>
      <c r="C52" s="226" t="n">
        <v>0.919</v>
      </c>
      <c r="D52" s="198"/>
      <c r="E52" s="198"/>
      <c r="F52" s="28" t="s">
        <v>99</v>
      </c>
      <c r="G52" s="28" t="s">
        <v>8280</v>
      </c>
      <c r="H52" s="28" t="s">
        <v>8281</v>
      </c>
      <c r="I52" s="28" t="s">
        <v>8282</v>
      </c>
      <c r="J52" s="6" t="s">
        <v>8283</v>
      </c>
      <c r="K52" s="198" t="n">
        <v>2</v>
      </c>
      <c r="L52" s="198" t="s">
        <v>6610</v>
      </c>
      <c r="M52" s="6" t="s">
        <v>8284</v>
      </c>
      <c r="N52" s="198" t="s">
        <v>6612</v>
      </c>
      <c r="O52" s="28" t="s">
        <v>6613</v>
      </c>
      <c r="P52" s="28" t="s">
        <v>620</v>
      </c>
      <c r="Q52" s="28" t="s">
        <v>8285</v>
      </c>
      <c r="R52" s="28" t="s">
        <v>620</v>
      </c>
      <c r="S52" s="28" t="s">
        <v>620</v>
      </c>
      <c r="T52" s="28" t="s">
        <v>620</v>
      </c>
      <c r="U52" s="28" t="s">
        <v>8091</v>
      </c>
      <c r="V52" s="6" t="s">
        <v>8271</v>
      </c>
      <c r="W52" s="6" t="s">
        <v>8286</v>
      </c>
      <c r="X52" s="30" t="n">
        <f aca="false">IF($O52="Active",SUMPRODUCT(($AH$5:$AH$127=$AH52)*1),0)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28" t="s">
        <v>8287</v>
      </c>
      <c r="B53" s="6" t="s">
        <v>8288</v>
      </c>
      <c r="C53" s="226" t="n">
        <v>0.451</v>
      </c>
      <c r="D53" s="198"/>
      <c r="E53" s="198"/>
      <c r="F53" s="28" t="s">
        <v>1521</v>
      </c>
      <c r="G53" s="198" t="s">
        <v>8289</v>
      </c>
      <c r="H53" s="28" t="s">
        <v>8086</v>
      </c>
      <c r="I53" s="28" t="s">
        <v>8290</v>
      </c>
      <c r="J53" s="6" t="s">
        <v>8291</v>
      </c>
      <c r="K53" s="198" t="n">
        <v>1</v>
      </c>
      <c r="L53" s="198" t="s">
        <v>6610</v>
      </c>
      <c r="M53" s="6" t="s">
        <v>8292</v>
      </c>
      <c r="N53" s="198" t="s">
        <v>6612</v>
      </c>
      <c r="O53" s="28" t="s">
        <v>6613</v>
      </c>
      <c r="P53" s="28" t="s">
        <v>620</v>
      </c>
      <c r="Q53" s="28" t="s">
        <v>8293</v>
      </c>
      <c r="R53" s="28" t="s">
        <v>620</v>
      </c>
      <c r="S53" s="28" t="s">
        <v>620</v>
      </c>
      <c r="T53" s="28" t="s">
        <v>620</v>
      </c>
      <c r="U53" s="28" t="s">
        <v>8294</v>
      </c>
      <c r="V53" s="228" t="s">
        <v>8097</v>
      </c>
      <c r="W53" s="6" t="s">
        <v>8295</v>
      </c>
      <c r="X53" s="30" t="n">
        <f aca="false">IF($O53="Active",SUMPRODUCT(($AH$5:$AH$127=$AH53)*1),0)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28" t="s">
        <v>8296</v>
      </c>
      <c r="B54" s="6" t="s">
        <v>8288</v>
      </c>
      <c r="C54" s="226" t="n">
        <v>2.627</v>
      </c>
      <c r="D54" s="198"/>
      <c r="E54" s="198"/>
      <c r="F54" s="28" t="s">
        <v>1521</v>
      </c>
      <c r="G54" s="198" t="s">
        <v>8297</v>
      </c>
      <c r="H54" s="28" t="s">
        <v>8086</v>
      </c>
      <c r="I54" s="28" t="s">
        <v>8290</v>
      </c>
      <c r="J54" s="6" t="s">
        <v>8291</v>
      </c>
      <c r="K54" s="198" t="n">
        <v>1</v>
      </c>
      <c r="L54" s="198" t="s">
        <v>6610</v>
      </c>
      <c r="M54" s="6" t="s">
        <v>8292</v>
      </c>
      <c r="N54" s="198" t="s">
        <v>6612</v>
      </c>
      <c r="O54" s="28" t="s">
        <v>6613</v>
      </c>
      <c r="P54" s="28" t="s">
        <v>620</v>
      </c>
      <c r="Q54" s="28" t="s">
        <v>8293</v>
      </c>
      <c r="R54" s="28" t="s">
        <v>620</v>
      </c>
      <c r="S54" s="28" t="s">
        <v>620</v>
      </c>
      <c r="T54" s="28" t="s">
        <v>620</v>
      </c>
      <c r="U54" s="28" t="s">
        <v>8294</v>
      </c>
      <c r="V54" s="228" t="s">
        <v>8097</v>
      </c>
      <c r="W54" s="6" t="s">
        <v>8298</v>
      </c>
      <c r="X54" s="30" t="n">
        <f aca="false">IF($O54="Active",SUMPRODUCT(($AH$5:$AH$127=$AH54)*1),0)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28" t="s">
        <v>5608</v>
      </c>
      <c r="B55" s="6" t="s">
        <v>8299</v>
      </c>
      <c r="C55" s="226" t="n">
        <v>0.07</v>
      </c>
      <c r="D55" s="226" t="n">
        <v>0.02</v>
      </c>
      <c r="E55" s="226" t="n">
        <v>0.07</v>
      </c>
      <c r="F55" s="28" t="s">
        <v>99</v>
      </c>
      <c r="G55" s="198" t="s">
        <v>8300</v>
      </c>
      <c r="H55" s="28" t="s">
        <v>8086</v>
      </c>
      <c r="I55" s="28" t="s">
        <v>8290</v>
      </c>
      <c r="J55" s="6" t="s">
        <v>8301</v>
      </c>
      <c r="K55" s="198" t="n">
        <v>1</v>
      </c>
      <c r="L55" s="198" t="s">
        <v>6610</v>
      </c>
      <c r="M55" s="6" t="s">
        <v>8089</v>
      </c>
      <c r="N55" s="198" t="s">
        <v>6612</v>
      </c>
      <c r="O55" s="28" t="s">
        <v>6613</v>
      </c>
      <c r="P55" s="28" t="s">
        <v>620</v>
      </c>
      <c r="Q55" s="28" t="s">
        <v>8302</v>
      </c>
      <c r="R55" s="28" t="s">
        <v>620</v>
      </c>
      <c r="S55" s="28" t="s">
        <v>620</v>
      </c>
      <c r="T55" s="28" t="s">
        <v>620</v>
      </c>
      <c r="U55" s="28" t="s">
        <v>8294</v>
      </c>
      <c r="V55" s="6" t="s">
        <v>8303</v>
      </c>
      <c r="W55" s="6" t="s">
        <v>8304</v>
      </c>
      <c r="X55" s="30" t="n">
        <f aca="false">IF($O55="Active",SUMPRODUCT(($AH$5:$AH$127=$AH55)*1),0)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28" t="s">
        <v>8305</v>
      </c>
      <c r="B56" s="6" t="s">
        <v>8306</v>
      </c>
      <c r="C56" s="226" t="n">
        <v>69.5</v>
      </c>
      <c r="D56" s="198"/>
      <c r="E56" s="198"/>
      <c r="F56" s="28" t="s">
        <v>292</v>
      </c>
      <c r="G56" s="28" t="s">
        <v>8307</v>
      </c>
      <c r="H56" s="28" t="s">
        <v>8308</v>
      </c>
      <c r="I56" s="28" t="s">
        <v>8309</v>
      </c>
      <c r="J56" s="6" t="s">
        <v>8310</v>
      </c>
      <c r="K56" s="198" t="n">
        <v>1</v>
      </c>
      <c r="L56" s="198" t="s">
        <v>6717</v>
      </c>
      <c r="M56" s="6" t="s">
        <v>8311</v>
      </c>
      <c r="N56" s="198" t="s">
        <v>6612</v>
      </c>
      <c r="O56" s="28" t="s">
        <v>6613</v>
      </c>
      <c r="P56" s="28" t="s">
        <v>620</v>
      </c>
      <c r="Q56" s="28" t="s">
        <v>8312</v>
      </c>
      <c r="R56" s="28" t="s">
        <v>620</v>
      </c>
      <c r="S56" s="28" t="s">
        <v>620</v>
      </c>
      <c r="T56" s="28" t="s">
        <v>620</v>
      </c>
      <c r="U56" s="28" t="s">
        <v>8294</v>
      </c>
      <c r="V56" s="228" t="s">
        <v>8313</v>
      </c>
      <c r="W56" s="6" t="s">
        <v>8314</v>
      </c>
      <c r="X56" s="30" t="n">
        <f aca="false">IF($O56="Active",SUMPRODUCT(($AH$5:$AH$127=$AH56)*1),0)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28" t="s">
        <v>8315</v>
      </c>
      <c r="B57" s="6" t="s">
        <v>8316</v>
      </c>
      <c r="C57" s="226" t="n">
        <v>295.6</v>
      </c>
      <c r="D57" s="198"/>
      <c r="E57" s="198"/>
      <c r="F57" s="28" t="s">
        <v>292</v>
      </c>
      <c r="G57" s="28" t="s">
        <v>8317</v>
      </c>
      <c r="H57" s="28" t="s">
        <v>8318</v>
      </c>
      <c r="I57" s="28" t="s">
        <v>8319</v>
      </c>
      <c r="J57" s="6" t="s">
        <v>8320</v>
      </c>
      <c r="K57" s="198" t="n">
        <v>1</v>
      </c>
      <c r="L57" s="198" t="s">
        <v>6717</v>
      </c>
      <c r="M57" s="6" t="s">
        <v>8321</v>
      </c>
      <c r="N57" s="198" t="s">
        <v>6612</v>
      </c>
      <c r="O57" s="28" t="s">
        <v>6613</v>
      </c>
      <c r="P57" s="28" t="s">
        <v>620</v>
      </c>
      <c r="Q57" s="28" t="s">
        <v>8322</v>
      </c>
      <c r="R57" s="28" t="s">
        <v>620</v>
      </c>
      <c r="S57" s="28" t="s">
        <v>620</v>
      </c>
      <c r="T57" s="28" t="s">
        <v>620</v>
      </c>
      <c r="U57" s="28" t="s">
        <v>8294</v>
      </c>
      <c r="V57" s="228" t="s">
        <v>8323</v>
      </c>
      <c r="W57" s="6" t="s">
        <v>8324</v>
      </c>
      <c r="X57" s="30" t="n">
        <f aca="false">IF($O57="Active",SUMPRODUCT(($AH$5:$AH$127=$AH57)*1),0)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28" t="s">
        <v>8325</v>
      </c>
      <c r="B58" s="228" t="s">
        <v>8326</v>
      </c>
      <c r="C58" s="226" t="n">
        <v>0.07</v>
      </c>
      <c r="D58" s="198"/>
      <c r="E58" s="226" t="n">
        <v>0.24</v>
      </c>
      <c r="F58" s="28" t="s">
        <v>99</v>
      </c>
      <c r="G58" s="28" t="s">
        <v>8327</v>
      </c>
      <c r="H58" s="28" t="s">
        <v>8086</v>
      </c>
      <c r="I58" s="28" t="s">
        <v>8328</v>
      </c>
      <c r="J58" s="6" t="s">
        <v>8329</v>
      </c>
      <c r="K58" s="198" t="n">
        <v>2</v>
      </c>
      <c r="L58" s="198" t="s">
        <v>6610</v>
      </c>
      <c r="M58" s="6" t="s">
        <v>8330</v>
      </c>
      <c r="N58" s="198" t="s">
        <v>8331</v>
      </c>
      <c r="O58" s="28" t="s">
        <v>6613</v>
      </c>
      <c r="P58" s="28" t="s">
        <v>620</v>
      </c>
      <c r="Q58" s="28" t="s">
        <v>8332</v>
      </c>
      <c r="R58" s="28" t="s">
        <v>620</v>
      </c>
      <c r="S58" s="28" t="s">
        <v>620</v>
      </c>
      <c r="T58" s="28" t="s">
        <v>620</v>
      </c>
      <c r="U58" s="28" t="s">
        <v>8294</v>
      </c>
      <c r="V58" s="228" t="s">
        <v>8333</v>
      </c>
      <c r="W58" s="6" t="s">
        <v>8334</v>
      </c>
      <c r="X58" s="30" t="n">
        <f aca="false">IF($O58="Active",SUMPRODUCT(($AH$5:$AH$127=$AH58)*1),0)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28" t="s">
        <v>8335</v>
      </c>
      <c r="B59" s="6" t="s">
        <v>8336</v>
      </c>
      <c r="C59" s="226" t="n">
        <v>27000</v>
      </c>
      <c r="D59" s="198"/>
      <c r="E59" s="226" t="n">
        <v>400000</v>
      </c>
      <c r="F59" s="28" t="s">
        <v>292</v>
      </c>
      <c r="G59" s="198" t="s">
        <v>8337</v>
      </c>
      <c r="H59" s="28" t="s">
        <v>8086</v>
      </c>
      <c r="I59" s="28" t="s">
        <v>8338</v>
      </c>
      <c r="J59" s="6" t="s">
        <v>8339</v>
      </c>
      <c r="K59" s="198" t="n">
        <v>1</v>
      </c>
      <c r="L59" s="198" t="s">
        <v>6610</v>
      </c>
      <c r="M59" s="6" t="s">
        <v>8089</v>
      </c>
      <c r="N59" s="198" t="s">
        <v>6612</v>
      </c>
      <c r="O59" s="28" t="s">
        <v>6613</v>
      </c>
      <c r="P59" s="28" t="s">
        <v>620</v>
      </c>
      <c r="Q59" s="28" t="s">
        <v>8340</v>
      </c>
      <c r="R59" s="28" t="s">
        <v>620</v>
      </c>
      <c r="S59" s="28" t="s">
        <v>620</v>
      </c>
      <c r="T59" s="28" t="s">
        <v>620</v>
      </c>
      <c r="U59" s="28" t="s">
        <v>8294</v>
      </c>
      <c r="V59" s="228" t="s">
        <v>8341</v>
      </c>
      <c r="W59" s="6" t="s">
        <v>8342</v>
      </c>
      <c r="X59" s="30" t="n">
        <f aca="false">IF($O59="Active",SUMPRODUCT(($AH$5:$AH$127=$AH59)*1),0)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1</v>
      </c>
      <c r="AH59" s="42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28" t="s">
        <v>8343</v>
      </c>
      <c r="B60" s="6" t="s">
        <v>8344</v>
      </c>
      <c r="C60" s="226" t="n">
        <v>1</v>
      </c>
      <c r="D60" s="198"/>
      <c r="E60" s="198"/>
      <c r="F60" s="28" t="s">
        <v>8345</v>
      </c>
      <c r="G60" s="198" t="s">
        <v>8346</v>
      </c>
      <c r="H60" s="28" t="s">
        <v>8086</v>
      </c>
      <c r="I60" s="28" t="s">
        <v>8347</v>
      </c>
      <c r="J60" s="6" t="s">
        <v>8348</v>
      </c>
      <c r="K60" s="198" t="n">
        <v>2</v>
      </c>
      <c r="L60" s="198" t="s">
        <v>6610</v>
      </c>
      <c r="M60" s="6" t="s">
        <v>8349</v>
      </c>
      <c r="N60" s="198" t="s">
        <v>6623</v>
      </c>
      <c r="O60" s="28" t="s">
        <v>6613</v>
      </c>
      <c r="P60" s="28" t="s">
        <v>620</v>
      </c>
      <c r="Q60" s="28" t="s">
        <v>8350</v>
      </c>
      <c r="R60" s="28" t="s">
        <v>620</v>
      </c>
      <c r="S60" s="28" t="s">
        <v>620</v>
      </c>
      <c r="T60" s="28" t="s">
        <v>620</v>
      </c>
      <c r="U60" s="28" t="s">
        <v>8294</v>
      </c>
      <c r="V60" s="228" t="s">
        <v>8351</v>
      </c>
      <c r="W60" s="6" t="s">
        <v>8352</v>
      </c>
      <c r="X60" s="30" t="n">
        <f aca="false">IF($O60="Active",SUMPRODUCT(($AH$5:$AH$127=$AH60)*1),0)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28" t="s">
        <v>8353</v>
      </c>
      <c r="B61" s="6" t="s">
        <v>8354</v>
      </c>
      <c r="C61" s="226" t="n">
        <v>0.7</v>
      </c>
      <c r="D61" s="198"/>
      <c r="E61" s="198"/>
      <c r="F61" s="28" t="s">
        <v>8355</v>
      </c>
      <c r="G61" s="28" t="s">
        <v>8356</v>
      </c>
      <c r="H61" s="28" t="s">
        <v>8086</v>
      </c>
      <c r="I61" s="28" t="s">
        <v>8357</v>
      </c>
      <c r="J61" s="6" t="s">
        <v>8358</v>
      </c>
      <c r="K61" s="198" t="n">
        <v>2</v>
      </c>
      <c r="L61" s="198" t="s">
        <v>6610</v>
      </c>
      <c r="M61" s="6" t="s">
        <v>8349</v>
      </c>
      <c r="N61" s="198" t="s">
        <v>6623</v>
      </c>
      <c r="O61" s="28" t="s">
        <v>6613</v>
      </c>
      <c r="P61" s="28" t="s">
        <v>620</v>
      </c>
      <c r="Q61" s="28" t="s">
        <v>8359</v>
      </c>
      <c r="R61" s="28" t="s">
        <v>620</v>
      </c>
      <c r="S61" s="28" t="s">
        <v>620</v>
      </c>
      <c r="T61" s="28" t="s">
        <v>620</v>
      </c>
      <c r="U61" s="28" t="s">
        <v>8294</v>
      </c>
      <c r="V61" s="228" t="s">
        <v>8360</v>
      </c>
      <c r="W61" s="6" t="s">
        <v>8361</v>
      </c>
      <c r="X61" s="30" t="n">
        <f aca="false">IF($O61="Active",SUMPRODUCT(($AH$5:$AH$127=$AH61)*1),0)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28" t="s">
        <v>8362</v>
      </c>
      <c r="B62" s="6" t="s">
        <v>8363</v>
      </c>
      <c r="C62" s="226" t="n">
        <v>100</v>
      </c>
      <c r="D62" s="198"/>
      <c r="E62" s="198"/>
      <c r="F62" s="28" t="s">
        <v>8364</v>
      </c>
      <c r="G62" s="28" t="s">
        <v>8365</v>
      </c>
      <c r="H62" s="28" t="s">
        <v>1212</v>
      </c>
      <c r="I62" s="28" t="s">
        <v>7202</v>
      </c>
      <c r="J62" s="6" t="s">
        <v>8366</v>
      </c>
      <c r="K62" s="198" t="n">
        <v>2</v>
      </c>
      <c r="L62" s="198" t="s">
        <v>6610</v>
      </c>
      <c r="M62" s="6" t="s">
        <v>8349</v>
      </c>
      <c r="N62" s="198" t="s">
        <v>6623</v>
      </c>
      <c r="O62" s="28" t="s">
        <v>6613</v>
      </c>
      <c r="P62" s="28" t="s">
        <v>620</v>
      </c>
      <c r="Q62" s="28" t="s">
        <v>8367</v>
      </c>
      <c r="R62" s="28" t="s">
        <v>620</v>
      </c>
      <c r="S62" s="28" t="s">
        <v>620</v>
      </c>
      <c r="T62" s="28" t="s">
        <v>620</v>
      </c>
      <c r="U62" s="28" t="s">
        <v>8294</v>
      </c>
      <c r="V62" s="228" t="s">
        <v>8368</v>
      </c>
      <c r="W62" s="6" t="s">
        <v>8369</v>
      </c>
      <c r="X62" s="30" t="n">
        <f aca="false">IF($O62="Active",SUMPRODUCT(($AH$5:$AH$127=$AH62)*1),0)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28" t="s">
        <v>8370</v>
      </c>
      <c r="B63" s="228" t="s">
        <v>8371</v>
      </c>
      <c r="C63" s="226" t="n">
        <v>0.35</v>
      </c>
      <c r="D63" s="198"/>
      <c r="E63" s="198"/>
      <c r="F63" s="28" t="s">
        <v>99</v>
      </c>
      <c r="G63" s="28" t="s">
        <v>8372</v>
      </c>
      <c r="H63" s="28" t="s">
        <v>8373</v>
      </c>
      <c r="I63" s="28" t="s">
        <v>8374</v>
      </c>
      <c r="J63" s="6" t="s">
        <v>8375</v>
      </c>
      <c r="K63" s="198" t="n">
        <v>1</v>
      </c>
      <c r="L63" s="198" t="s">
        <v>6717</v>
      </c>
      <c r="M63" s="6" t="s">
        <v>8376</v>
      </c>
      <c r="N63" s="198" t="s">
        <v>6612</v>
      </c>
      <c r="O63" s="28" t="s">
        <v>6613</v>
      </c>
      <c r="P63" s="28" t="s">
        <v>620</v>
      </c>
      <c r="Q63" s="28" t="s">
        <v>8377</v>
      </c>
      <c r="R63" s="28" t="s">
        <v>620</v>
      </c>
      <c r="S63" s="28" t="s">
        <v>620</v>
      </c>
      <c r="T63" s="28" t="s">
        <v>620</v>
      </c>
      <c r="U63" s="28" t="s">
        <v>8294</v>
      </c>
      <c r="V63" s="228" t="s">
        <v>8378</v>
      </c>
      <c r="W63" s="6" t="s">
        <v>8379</v>
      </c>
      <c r="X63" s="30" t="n">
        <f aca="false">IF($O63="Active",SUMPRODUCT(($AH$5:$AH$127=$AH63)*1),0)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28" t="s">
        <v>8380</v>
      </c>
      <c r="B64" s="6" t="s">
        <v>8100</v>
      </c>
      <c r="C64" s="226" t="n">
        <v>8</v>
      </c>
      <c r="D64" s="198"/>
      <c r="E64" s="198"/>
      <c r="F64" s="198" t="s">
        <v>1283</v>
      </c>
      <c r="G64" s="198" t="s">
        <v>8381</v>
      </c>
      <c r="H64" s="28" t="s">
        <v>8102</v>
      </c>
      <c r="I64" s="28" t="s">
        <v>8382</v>
      </c>
      <c r="J64" s="6" t="s">
        <v>8383</v>
      </c>
      <c r="K64" s="198" t="n">
        <v>2</v>
      </c>
      <c r="L64" s="198" t="s">
        <v>6610</v>
      </c>
      <c r="M64" s="6" t="s">
        <v>8349</v>
      </c>
      <c r="N64" s="198" t="s">
        <v>6623</v>
      </c>
      <c r="O64" s="28" t="s">
        <v>6613</v>
      </c>
      <c r="P64" s="28" t="s">
        <v>620</v>
      </c>
      <c r="Q64" s="28" t="s">
        <v>8384</v>
      </c>
      <c r="R64" s="28" t="s">
        <v>620</v>
      </c>
      <c r="S64" s="28" t="s">
        <v>620</v>
      </c>
      <c r="T64" s="28" t="s">
        <v>620</v>
      </c>
      <c r="U64" s="28" t="s">
        <v>8294</v>
      </c>
      <c r="V64" s="228" t="s">
        <v>8385</v>
      </c>
      <c r="W64" s="6" t="s">
        <v>8386</v>
      </c>
      <c r="X64" s="30" t="n">
        <f aca="false">IF($O64="Active",SUMPRODUCT(($AH$5:$AH$127=$AH64)*1),0)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28" t="s">
        <v>8387</v>
      </c>
      <c r="B65" s="6" t="s">
        <v>8388</v>
      </c>
      <c r="C65" s="226" t="n">
        <v>3</v>
      </c>
      <c r="D65" s="198"/>
      <c r="E65" s="198"/>
      <c r="F65" s="28" t="s">
        <v>91</v>
      </c>
      <c r="G65" s="28" t="s">
        <v>8389</v>
      </c>
      <c r="H65" s="28" t="s">
        <v>1212</v>
      </c>
      <c r="I65" s="28" t="s">
        <v>8087</v>
      </c>
      <c r="J65" s="6" t="s">
        <v>8390</v>
      </c>
      <c r="K65" s="198" t="n">
        <v>1</v>
      </c>
      <c r="L65" s="198" t="s">
        <v>6610</v>
      </c>
      <c r="M65" s="6" t="s">
        <v>8089</v>
      </c>
      <c r="N65" s="198" t="s">
        <v>6612</v>
      </c>
      <c r="O65" s="28" t="s">
        <v>6613</v>
      </c>
      <c r="P65" s="28" t="s">
        <v>620</v>
      </c>
      <c r="Q65" s="28" t="s">
        <v>8391</v>
      </c>
      <c r="R65" s="28" t="s">
        <v>620</v>
      </c>
      <c r="S65" s="28" t="s">
        <v>620</v>
      </c>
      <c r="T65" s="28" t="s">
        <v>620</v>
      </c>
      <c r="U65" s="28" t="s">
        <v>8294</v>
      </c>
      <c r="V65" s="228" t="s">
        <v>8392</v>
      </c>
      <c r="W65" s="6" t="s">
        <v>8393</v>
      </c>
      <c r="X65" s="30" t="n">
        <f aca="false">IF($O65="Active",SUMPRODUCT(($AH$5:$AH$127=$AH65)*1),0)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28" t="s">
        <v>8394</v>
      </c>
      <c r="B66" s="6" t="s">
        <v>8395</v>
      </c>
      <c r="C66" s="226" t="n">
        <v>50</v>
      </c>
      <c r="D66" s="198"/>
      <c r="E66" s="226" t="n">
        <v>70</v>
      </c>
      <c r="F66" s="28" t="s">
        <v>1814</v>
      </c>
      <c r="G66" s="198" t="s">
        <v>8396</v>
      </c>
      <c r="H66" s="28" t="s">
        <v>1212</v>
      </c>
      <c r="I66" s="28" t="s">
        <v>3379</v>
      </c>
      <c r="J66" s="6" t="s">
        <v>8397</v>
      </c>
      <c r="K66" s="198" t="n">
        <v>2</v>
      </c>
      <c r="L66" s="198" t="s">
        <v>6610</v>
      </c>
      <c r="M66" s="228" t="s">
        <v>8398</v>
      </c>
      <c r="N66" s="198" t="s">
        <v>6623</v>
      </c>
      <c r="O66" s="28" t="s">
        <v>6613</v>
      </c>
      <c r="P66" s="28" t="s">
        <v>620</v>
      </c>
      <c r="Q66" s="28" t="s">
        <v>8399</v>
      </c>
      <c r="R66" s="28" t="s">
        <v>620</v>
      </c>
      <c r="S66" s="28" t="s">
        <v>620</v>
      </c>
      <c r="T66" s="28" t="s">
        <v>620</v>
      </c>
      <c r="U66" s="28" t="s">
        <v>8294</v>
      </c>
      <c r="V66" s="228" t="s">
        <v>8400</v>
      </c>
      <c r="W66" s="6" t="s">
        <v>8401</v>
      </c>
      <c r="X66" s="30" t="n">
        <f aca="false">IF($O66="Active",SUMPRODUCT(($AH$5:$AH$127=$AH66)*1),0)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28" t="s">
        <v>8402</v>
      </c>
      <c r="B67" s="6" t="s">
        <v>8403</v>
      </c>
      <c r="C67" s="226" t="n">
        <v>500</v>
      </c>
      <c r="D67" s="198"/>
      <c r="E67" s="198"/>
      <c r="F67" s="198" t="s">
        <v>1283</v>
      </c>
      <c r="G67" s="198" t="s">
        <v>8404</v>
      </c>
      <c r="H67" s="28" t="s">
        <v>8086</v>
      </c>
      <c r="I67" s="28" t="s">
        <v>8357</v>
      </c>
      <c r="J67" s="6" t="s">
        <v>8405</v>
      </c>
      <c r="K67" s="198" t="n">
        <v>2</v>
      </c>
      <c r="L67" s="198" t="s">
        <v>6610</v>
      </c>
      <c r="M67" s="6" t="s">
        <v>8349</v>
      </c>
      <c r="N67" s="198" t="s">
        <v>6623</v>
      </c>
      <c r="O67" s="28" t="s">
        <v>6613</v>
      </c>
      <c r="P67" s="28" t="s">
        <v>620</v>
      </c>
      <c r="Q67" s="28" t="s">
        <v>8406</v>
      </c>
      <c r="R67" s="28" t="s">
        <v>620</v>
      </c>
      <c r="S67" s="28" t="s">
        <v>620</v>
      </c>
      <c r="T67" s="28" t="s">
        <v>620</v>
      </c>
      <c r="U67" s="28" t="s">
        <v>8294</v>
      </c>
      <c r="V67" s="228" t="s">
        <v>8407</v>
      </c>
      <c r="W67" s="6" t="s">
        <v>8408</v>
      </c>
      <c r="X67" s="30" t="n">
        <f aca="false">IF($O67="Active",SUMPRODUCT(($AH$5:$AH$127=$AH67)*1),0)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28" t="s">
        <v>8409</v>
      </c>
      <c r="B68" s="6" t="s">
        <v>8403</v>
      </c>
      <c r="C68" s="226" t="n">
        <v>700</v>
      </c>
      <c r="D68" s="198"/>
      <c r="E68" s="198"/>
      <c r="F68" s="198" t="s">
        <v>1283</v>
      </c>
      <c r="G68" s="198" t="s">
        <v>8410</v>
      </c>
      <c r="H68" s="28" t="s">
        <v>8086</v>
      </c>
      <c r="I68" s="28" t="s">
        <v>8357</v>
      </c>
      <c r="J68" s="6" t="s">
        <v>8411</v>
      </c>
      <c r="K68" s="198" t="n">
        <v>2</v>
      </c>
      <c r="L68" s="198" t="s">
        <v>6610</v>
      </c>
      <c r="M68" s="6" t="s">
        <v>8349</v>
      </c>
      <c r="N68" s="198" t="s">
        <v>6623</v>
      </c>
      <c r="O68" s="28" t="s">
        <v>6613</v>
      </c>
      <c r="P68" s="28" t="s">
        <v>620</v>
      </c>
      <c r="Q68" s="28" t="s">
        <v>8406</v>
      </c>
      <c r="R68" s="28" t="s">
        <v>620</v>
      </c>
      <c r="S68" s="28" t="s">
        <v>620</v>
      </c>
      <c r="T68" s="28" t="s">
        <v>620</v>
      </c>
      <c r="U68" s="28" t="s">
        <v>8294</v>
      </c>
      <c r="V68" s="228" t="s">
        <v>8407</v>
      </c>
      <c r="W68" s="6" t="s">
        <v>8412</v>
      </c>
      <c r="X68" s="30" t="n">
        <f aca="false">IF($O68="Active",SUMPRODUCT(($AH$5:$AH$127=$AH68)*1),0)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28" t="s">
        <v>8413</v>
      </c>
      <c r="B69" s="6" t="s">
        <v>8403</v>
      </c>
      <c r="C69" s="226" t="n">
        <v>800</v>
      </c>
      <c r="D69" s="198"/>
      <c r="E69" s="198"/>
      <c r="F69" s="198" t="s">
        <v>1283</v>
      </c>
      <c r="G69" s="198" t="s">
        <v>8414</v>
      </c>
      <c r="H69" s="28" t="s">
        <v>8086</v>
      </c>
      <c r="I69" s="28" t="s">
        <v>8022</v>
      </c>
      <c r="J69" s="6" t="s">
        <v>8415</v>
      </c>
      <c r="K69" s="198" t="n">
        <v>2</v>
      </c>
      <c r="L69" s="198" t="s">
        <v>6610</v>
      </c>
      <c r="M69" s="6" t="s">
        <v>8349</v>
      </c>
      <c r="N69" s="198" t="s">
        <v>6623</v>
      </c>
      <c r="O69" s="28" t="s">
        <v>6613</v>
      </c>
      <c r="P69" s="28" t="s">
        <v>620</v>
      </c>
      <c r="Q69" s="28" t="s">
        <v>8406</v>
      </c>
      <c r="R69" s="28" t="s">
        <v>620</v>
      </c>
      <c r="S69" s="28" t="s">
        <v>620</v>
      </c>
      <c r="T69" s="28" t="s">
        <v>620</v>
      </c>
      <c r="U69" s="28" t="s">
        <v>8294</v>
      </c>
      <c r="V69" s="228" t="s">
        <v>8407</v>
      </c>
      <c r="W69" s="6" t="s">
        <v>8416</v>
      </c>
      <c r="X69" s="30" t="n">
        <f aca="false">IF($O69="Active",SUMPRODUCT(($AH$5:$AH$127=$AH69)*1),0)</f>
        <v>1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1</v>
      </c>
      <c r="AH69" s="42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28" t="s">
        <v>8417</v>
      </c>
      <c r="B70" s="6" t="s">
        <v>8403</v>
      </c>
      <c r="C70" s="226" t="n">
        <v>900</v>
      </c>
      <c r="D70" s="198"/>
      <c r="E70" s="198"/>
      <c r="F70" s="198" t="s">
        <v>1283</v>
      </c>
      <c r="G70" s="198" t="s">
        <v>8418</v>
      </c>
      <c r="H70" s="28" t="s">
        <v>8086</v>
      </c>
      <c r="I70" s="28" t="s">
        <v>8087</v>
      </c>
      <c r="J70" s="6" t="s">
        <v>8088</v>
      </c>
      <c r="K70" s="198" t="n">
        <v>1</v>
      </c>
      <c r="L70" s="198" t="s">
        <v>6610</v>
      </c>
      <c r="M70" s="6" t="s">
        <v>8089</v>
      </c>
      <c r="N70" s="198" t="s">
        <v>6612</v>
      </c>
      <c r="O70" s="28" t="s">
        <v>6613</v>
      </c>
      <c r="P70" s="28" t="s">
        <v>620</v>
      </c>
      <c r="Q70" s="28" t="s">
        <v>8406</v>
      </c>
      <c r="R70" s="28" t="s">
        <v>620</v>
      </c>
      <c r="S70" s="28" t="s">
        <v>620</v>
      </c>
      <c r="T70" s="28" t="s">
        <v>620</v>
      </c>
      <c r="U70" s="28" t="s">
        <v>8294</v>
      </c>
      <c r="V70" s="228" t="s">
        <v>8407</v>
      </c>
      <c r="W70" s="6" t="s">
        <v>8419</v>
      </c>
      <c r="X70" s="30" t="n">
        <f aca="false">IF($O70="Active",SUMPRODUCT(($AH$5:$AH$127=$AH70)*1),0)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1</v>
      </c>
      <c r="AH70" s="42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28" t="s">
        <v>8420</v>
      </c>
      <c r="B71" s="6" t="s">
        <v>8403</v>
      </c>
      <c r="C71" s="226" t="n">
        <v>1000</v>
      </c>
      <c r="D71" s="198"/>
      <c r="E71" s="198"/>
      <c r="F71" s="198" t="s">
        <v>1283</v>
      </c>
      <c r="G71" s="198" t="s">
        <v>8421</v>
      </c>
      <c r="H71" s="28" t="s">
        <v>8086</v>
      </c>
      <c r="I71" s="28" t="s">
        <v>8422</v>
      </c>
      <c r="J71" s="6" t="s">
        <v>8423</v>
      </c>
      <c r="K71" s="198" t="n">
        <v>2</v>
      </c>
      <c r="L71" s="198" t="s">
        <v>6610</v>
      </c>
      <c r="M71" s="6" t="s">
        <v>8349</v>
      </c>
      <c r="N71" s="198" t="s">
        <v>6623</v>
      </c>
      <c r="O71" s="28" t="s">
        <v>6613</v>
      </c>
      <c r="P71" s="28" t="s">
        <v>620</v>
      </c>
      <c r="Q71" s="28" t="s">
        <v>8406</v>
      </c>
      <c r="R71" s="28" t="s">
        <v>620</v>
      </c>
      <c r="S71" s="28" t="s">
        <v>620</v>
      </c>
      <c r="T71" s="28" t="s">
        <v>620</v>
      </c>
      <c r="U71" s="28" t="s">
        <v>8294</v>
      </c>
      <c r="V71" s="228" t="s">
        <v>8407</v>
      </c>
      <c r="W71" s="6" t="s">
        <v>8424</v>
      </c>
      <c r="X71" s="30" t="n">
        <f aca="false">IF($O71="Active",SUMPRODUCT(($AH$5:$AH$127=$AH71)*1),0)</f>
        <v>1</v>
      </c>
      <c r="Y71" s="30" t="n">
        <f aca="false">IF(AND($O71="Active",OR($Q71="—",$Q71="")),1,0)</f>
        <v>0</v>
      </c>
      <c r="Z71" s="30" t="n">
        <f aca="false">IF(AND($O71="Active",$L71="利害關係方",OR($R71="—",$R71="")),1,0)</f>
        <v>1</v>
      </c>
      <c r="AH71" s="42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28" t="s">
        <v>8425</v>
      </c>
      <c r="B72" s="6" t="s">
        <v>8403</v>
      </c>
      <c r="C72" s="226" t="n">
        <v>1200</v>
      </c>
      <c r="D72" s="198"/>
      <c r="E72" s="198"/>
      <c r="F72" s="198" t="s">
        <v>1283</v>
      </c>
      <c r="G72" s="198" t="s">
        <v>8426</v>
      </c>
      <c r="H72" s="28" t="s">
        <v>8086</v>
      </c>
      <c r="I72" s="28" t="s">
        <v>6141</v>
      </c>
      <c r="J72" s="6" t="s">
        <v>8427</v>
      </c>
      <c r="K72" s="198" t="n">
        <v>1</v>
      </c>
      <c r="L72" s="198" t="s">
        <v>6610</v>
      </c>
      <c r="M72" s="6" t="s">
        <v>8089</v>
      </c>
      <c r="N72" s="198" t="s">
        <v>6612</v>
      </c>
      <c r="O72" s="28" t="s">
        <v>6613</v>
      </c>
      <c r="P72" s="28" t="s">
        <v>620</v>
      </c>
      <c r="Q72" s="28" t="s">
        <v>8406</v>
      </c>
      <c r="R72" s="28" t="s">
        <v>620</v>
      </c>
      <c r="S72" s="28" t="s">
        <v>620</v>
      </c>
      <c r="T72" s="28" t="s">
        <v>620</v>
      </c>
      <c r="U72" s="28" t="s">
        <v>8294</v>
      </c>
      <c r="V72" s="228" t="s">
        <v>8407</v>
      </c>
      <c r="W72" s="6" t="s">
        <v>8428</v>
      </c>
      <c r="X72" s="30" t="n">
        <f aca="false">IF($O72="Active",SUMPRODUCT(($AH$5:$AH$127=$AH72)*1),0)</f>
        <v>1</v>
      </c>
      <c r="Y72" s="30" t="n">
        <f aca="false">IF(AND($O72="Active",OR($Q72="—",$Q72="")),1,0)</f>
        <v>0</v>
      </c>
      <c r="Z72" s="30" t="n">
        <f aca="false">IF(AND($O72="Active",$L72="利害關係方",OR($R72="—",$R72="")),1,0)</f>
        <v>1</v>
      </c>
      <c r="AH72" s="42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28" t="s">
        <v>8429</v>
      </c>
      <c r="B73" s="6" t="s">
        <v>8229</v>
      </c>
      <c r="C73" s="226" t="n">
        <v>5.7</v>
      </c>
      <c r="D73" s="198"/>
      <c r="E73" s="198"/>
      <c r="F73" s="28" t="s">
        <v>879</v>
      </c>
      <c r="G73" s="28" t="s">
        <v>8430</v>
      </c>
      <c r="H73" s="28" t="s">
        <v>1212</v>
      </c>
      <c r="I73" s="28" t="s">
        <v>7367</v>
      </c>
      <c r="J73" s="6" t="s">
        <v>8431</v>
      </c>
      <c r="K73" s="198" t="n">
        <v>2</v>
      </c>
      <c r="L73" s="198" t="s">
        <v>6610</v>
      </c>
      <c r="M73" s="6" t="s">
        <v>8349</v>
      </c>
      <c r="N73" s="198" t="s">
        <v>6623</v>
      </c>
      <c r="O73" s="28" t="s">
        <v>6613</v>
      </c>
      <c r="P73" s="28" t="s">
        <v>620</v>
      </c>
      <c r="Q73" s="28" t="s">
        <v>8432</v>
      </c>
      <c r="R73" s="28" t="s">
        <v>620</v>
      </c>
      <c r="S73" s="28" t="s">
        <v>620</v>
      </c>
      <c r="T73" s="28" t="s">
        <v>620</v>
      </c>
      <c r="U73" s="28" t="s">
        <v>8433</v>
      </c>
      <c r="V73" s="6" t="s">
        <v>8434</v>
      </c>
      <c r="W73" s="6" t="s">
        <v>8435</v>
      </c>
      <c r="X73" s="30" t="n">
        <f aca="false">IF($O73="Active",SUMPRODUCT(($AH$5:$AH$127=$AH73)*1),0)</f>
        <v>1</v>
      </c>
      <c r="Y73" s="30" t="n">
        <f aca="false">IF(AND($O73="Active",OR($Q73="—",$Q73="")),1,0)</f>
        <v>0</v>
      </c>
      <c r="Z73" s="30" t="n">
        <f aca="false">IF(AND($O73="Active",$L73="利害關係方",OR($R73="—",$R73="")),1,0)</f>
        <v>1</v>
      </c>
      <c r="AH73" s="42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28" t="s">
        <v>8436</v>
      </c>
      <c r="B74" s="6" t="s">
        <v>8437</v>
      </c>
      <c r="C74" s="226" t="n">
        <v>14.1</v>
      </c>
      <c r="D74" s="226" t="n">
        <v>12</v>
      </c>
      <c r="E74" s="226" t="n">
        <v>18</v>
      </c>
      <c r="F74" s="28" t="s">
        <v>879</v>
      </c>
      <c r="G74" s="28" t="s">
        <v>8438</v>
      </c>
      <c r="H74" s="28" t="s">
        <v>1212</v>
      </c>
      <c r="I74" s="28" t="s">
        <v>6620</v>
      </c>
      <c r="J74" s="6" t="s">
        <v>8439</v>
      </c>
      <c r="K74" s="198" t="n">
        <v>3</v>
      </c>
      <c r="L74" s="198" t="s">
        <v>6610</v>
      </c>
      <c r="M74" s="6" t="s">
        <v>8440</v>
      </c>
      <c r="N74" s="198" t="s">
        <v>6623</v>
      </c>
      <c r="O74" s="28" t="s">
        <v>6659</v>
      </c>
      <c r="P74" s="28" t="s">
        <v>620</v>
      </c>
      <c r="Q74" s="28" t="s">
        <v>8441</v>
      </c>
      <c r="R74" s="28" t="s">
        <v>620</v>
      </c>
      <c r="S74" s="28" t="s">
        <v>620</v>
      </c>
      <c r="T74" s="28" t="s">
        <v>620</v>
      </c>
      <c r="U74" s="28" t="s">
        <v>8433</v>
      </c>
      <c r="V74" s="6" t="s">
        <v>8442</v>
      </c>
      <c r="W74" s="6" t="s">
        <v>8443</v>
      </c>
      <c r="X74" s="30" t="n">
        <f aca="false">IF($O74="Active",SUMPRODUCT(($AH$5:$AH$127=$AH74)*1),0)</f>
        <v>0</v>
      </c>
      <c r="Y74" s="30" t="n">
        <f aca="false">IF(AND($O74="Active",OR($Q74="—",$Q74="")),1,0)</f>
        <v>0</v>
      </c>
      <c r="Z74" s="30" t="n">
        <f aca="false">IF(AND($O74="Active",$L74="利害關係方",OR($R74="—",$R74="")),1,0)</f>
        <v>0</v>
      </c>
      <c r="AH74" s="42" t="str">
        <f aca="false">IF($O74="Active",$B74&amp;"¦"&amp;$G74&amp;"¦"&amp;$H74,"")</f>
        <v/>
      </c>
    </row>
    <row r="75" customFormat="false" ht="54.75" hidden="false" customHeight="true" outlineLevel="0" collapsed="false">
      <c r="A75" s="28" t="s">
        <v>5619</v>
      </c>
      <c r="B75" s="6" t="s">
        <v>8444</v>
      </c>
      <c r="C75" s="226" t="n">
        <v>0.2</v>
      </c>
      <c r="D75" s="226" t="n">
        <v>0.15</v>
      </c>
      <c r="E75" s="226" t="n">
        <v>0.2</v>
      </c>
      <c r="F75" s="28" t="s">
        <v>99</v>
      </c>
      <c r="G75" s="28" t="s">
        <v>8445</v>
      </c>
      <c r="H75" s="28" t="s">
        <v>1212</v>
      </c>
      <c r="I75" s="28" t="s">
        <v>6620</v>
      </c>
      <c r="J75" s="6" t="s">
        <v>8446</v>
      </c>
      <c r="K75" s="198" t="n">
        <v>3</v>
      </c>
      <c r="L75" s="198" t="s">
        <v>6610</v>
      </c>
      <c r="M75" s="6" t="s">
        <v>8447</v>
      </c>
      <c r="N75" s="198" t="s">
        <v>6623</v>
      </c>
      <c r="O75" s="28" t="s">
        <v>6613</v>
      </c>
      <c r="P75" s="28" t="s">
        <v>620</v>
      </c>
      <c r="Q75" s="28" t="s">
        <v>8448</v>
      </c>
      <c r="R75" s="28" t="s">
        <v>620</v>
      </c>
      <c r="S75" s="28" t="s">
        <v>620</v>
      </c>
      <c r="T75" s="28" t="s">
        <v>620</v>
      </c>
      <c r="U75" s="28" t="s">
        <v>8433</v>
      </c>
      <c r="V75" s="6" t="s">
        <v>8449</v>
      </c>
      <c r="W75" s="6" t="s">
        <v>8450</v>
      </c>
      <c r="X75" s="30" t="n">
        <f aca="false">IF($O75="Active",SUMPRODUCT(($AH$5:$AH$127=$AH75)*1),0)</f>
        <v>1</v>
      </c>
      <c r="Y75" s="30" t="n">
        <f aca="false">IF(AND($O75="Active",OR($Q75="—",$Q75="")),1,0)</f>
        <v>0</v>
      </c>
      <c r="Z75" s="30" t="n">
        <f aca="false">IF(AND($O75="Active",$L75="利害關係方",OR($R75="—",$R75="")),1,0)</f>
        <v>1</v>
      </c>
      <c r="AH75" s="42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28" t="s">
        <v>5740</v>
      </c>
      <c r="B76" s="6" t="s">
        <v>8451</v>
      </c>
      <c r="C76" s="226" t="n">
        <v>1</v>
      </c>
      <c r="D76" s="198"/>
      <c r="E76" s="198"/>
      <c r="F76" s="28" t="s">
        <v>879</v>
      </c>
      <c r="G76" s="198" t="s">
        <v>8452</v>
      </c>
      <c r="H76" s="28" t="s">
        <v>1212</v>
      </c>
      <c r="I76" s="28" t="s">
        <v>8453</v>
      </c>
      <c r="J76" s="6" t="s">
        <v>8454</v>
      </c>
      <c r="K76" s="198" t="n">
        <v>2</v>
      </c>
      <c r="L76" s="198" t="s">
        <v>6610</v>
      </c>
      <c r="M76" s="6" t="s">
        <v>8349</v>
      </c>
      <c r="N76" s="198" t="s">
        <v>6623</v>
      </c>
      <c r="O76" s="28" t="s">
        <v>6613</v>
      </c>
      <c r="P76" s="28" t="s">
        <v>620</v>
      </c>
      <c r="Q76" s="28" t="s">
        <v>8455</v>
      </c>
      <c r="R76" s="28" t="s">
        <v>620</v>
      </c>
      <c r="S76" s="28" t="s">
        <v>620</v>
      </c>
      <c r="T76" s="28" t="s">
        <v>620</v>
      </c>
      <c r="U76" s="28" t="s">
        <v>8456</v>
      </c>
      <c r="V76" s="6" t="s">
        <v>8457</v>
      </c>
      <c r="W76" s="6" t="s">
        <v>8458</v>
      </c>
      <c r="X76" s="30" t="n">
        <f aca="false">IF($O76="Active",SUMPRODUCT(($AH$5:$AH$127=$AH76)*1),0)</f>
        <v>1</v>
      </c>
      <c r="Y76" s="30" t="n">
        <f aca="false">IF(AND($O76="Active",OR($Q76="—",$Q76="")),1,0)</f>
        <v>0</v>
      </c>
      <c r="Z76" s="30" t="n">
        <f aca="false">IF(AND($O76="Active",$L76="利害關係方",OR($R76="—",$R76="")),1,0)</f>
        <v>1</v>
      </c>
      <c r="AH76" s="42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28" t="s">
        <v>8459</v>
      </c>
      <c r="B77" s="6" t="s">
        <v>8460</v>
      </c>
      <c r="C77" s="226" t="n">
        <v>7.5</v>
      </c>
      <c r="D77" s="198"/>
      <c r="E77" s="198"/>
      <c r="F77" s="28" t="s">
        <v>879</v>
      </c>
      <c r="G77" s="198" t="s">
        <v>8461</v>
      </c>
      <c r="H77" s="28" t="s">
        <v>1212</v>
      </c>
      <c r="I77" s="28" t="s">
        <v>8462</v>
      </c>
      <c r="J77" s="6" t="s">
        <v>8463</v>
      </c>
      <c r="K77" s="198" t="n">
        <v>2</v>
      </c>
      <c r="L77" s="198" t="s">
        <v>6717</v>
      </c>
      <c r="M77" s="228" t="s">
        <v>8464</v>
      </c>
      <c r="N77" s="198" t="s">
        <v>8465</v>
      </c>
      <c r="O77" s="28" t="s">
        <v>6613</v>
      </c>
      <c r="P77" s="28" t="s">
        <v>620</v>
      </c>
      <c r="Q77" s="28" t="s">
        <v>8466</v>
      </c>
      <c r="R77" s="28" t="s">
        <v>620</v>
      </c>
      <c r="S77" s="28" t="s">
        <v>620</v>
      </c>
      <c r="T77" s="28" t="s">
        <v>620</v>
      </c>
      <c r="U77" s="28" t="s">
        <v>8467</v>
      </c>
      <c r="V77" s="6" t="s">
        <v>8468</v>
      </c>
      <c r="W77" s="6" t="s">
        <v>8469</v>
      </c>
      <c r="X77" s="30" t="n">
        <f aca="false">IF($O77="Active",SUMPRODUCT(($AH$5:$AH$127=$AH77)*1),0)</f>
        <v>1</v>
      </c>
      <c r="Y77" s="30" t="n">
        <f aca="false">IF(AND($O77="Active",OR($Q77="—",$Q77="")),1,0)</f>
        <v>0</v>
      </c>
      <c r="Z77" s="30" t="n">
        <f aca="false">IF(AND($O77="Active",$L77="利害關係方",OR($R77="—",$R77="")),1,0)</f>
        <v>0</v>
      </c>
      <c r="AH77" s="42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7" t="s">
        <v>8470</v>
      </c>
    </row>
    <row r="2" customFormat="false" ht="15" hidden="false" customHeight="false" outlineLevel="0" collapsed="false">
      <c r="A2" s="58" t="s">
        <v>8471</v>
      </c>
    </row>
    <row r="4" customFormat="false" ht="15" hidden="false" customHeight="false" outlineLevel="0" collapsed="false">
      <c r="A4" s="10" t="s">
        <v>6586</v>
      </c>
      <c r="B4" s="59" t="s">
        <v>12</v>
      </c>
      <c r="C4" s="59" t="s">
        <v>8472</v>
      </c>
      <c r="D4" s="59" t="s">
        <v>607</v>
      </c>
      <c r="E4" s="59" t="s">
        <v>3716</v>
      </c>
      <c r="F4" s="59" t="s">
        <v>8473</v>
      </c>
    </row>
    <row r="5" customFormat="false" ht="15" hidden="false" customHeight="false" outlineLevel="0" collapsed="false">
      <c r="A5" s="92" t="str">
        <f aca="false">SRC_HW!$A5&amp;""</f>
        <v>SRC_HW_001</v>
      </c>
      <c r="B5" s="61" t="s">
        <v>8474</v>
      </c>
      <c r="C5" s="60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1" t="s">
        <v>8474</v>
      </c>
      <c r="C6" s="60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1" t="s">
        <v>8474</v>
      </c>
      <c r="C7" s="60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1" t="s">
        <v>8474</v>
      </c>
      <c r="C8" s="60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1" t="s">
        <v>8474</v>
      </c>
      <c r="C9" s="60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1" t="s">
        <v>8474</v>
      </c>
      <c r="C10" s="60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1" t="s">
        <v>8474</v>
      </c>
      <c r="C11" s="60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1" t="s">
        <v>8474</v>
      </c>
      <c r="C12" s="60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1" t="s">
        <v>8474</v>
      </c>
      <c r="C13" s="60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1" t="s">
        <v>8474</v>
      </c>
      <c r="C14" s="60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1" t="s">
        <v>8474</v>
      </c>
      <c r="C15" s="60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1" t="s">
        <v>8474</v>
      </c>
      <c r="C16" s="60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1" t="s">
        <v>8474</v>
      </c>
      <c r="C17" s="60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1" t="s">
        <v>8474</v>
      </c>
      <c r="C18" s="60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1" t="s">
        <v>8474</v>
      </c>
      <c r="C19" s="60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1" t="s">
        <v>8474</v>
      </c>
      <c r="C20" s="60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1" t="s">
        <v>8474</v>
      </c>
      <c r="C21" s="60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1" t="s">
        <v>8474</v>
      </c>
      <c r="C22" s="60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1" t="s">
        <v>8474</v>
      </c>
      <c r="C23" s="60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1" t="s">
        <v>8474</v>
      </c>
      <c r="C24" s="60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1" t="s">
        <v>8474</v>
      </c>
      <c r="C25" s="60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1" t="s">
        <v>8474</v>
      </c>
      <c r="C26" s="60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1" t="s">
        <v>8474</v>
      </c>
      <c r="C27" s="60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1" t="s">
        <v>8474</v>
      </c>
      <c r="C28" s="60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1" t="s">
        <v>8474</v>
      </c>
      <c r="C29" s="60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1" t="s">
        <v>8474</v>
      </c>
      <c r="C30" s="60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1" t="s">
        <v>8474</v>
      </c>
      <c r="C31" s="60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1" t="s">
        <v>8474</v>
      </c>
      <c r="C32" s="60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1" t="s">
        <v>8474</v>
      </c>
      <c r="C33" s="60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1" t="s">
        <v>8474</v>
      </c>
      <c r="C34" s="60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1" t="s">
        <v>8474</v>
      </c>
      <c r="C35" s="60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1" t="s">
        <v>8474</v>
      </c>
      <c r="C36" s="60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1" t="s">
        <v>8474</v>
      </c>
      <c r="C37" s="60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1" t="s">
        <v>8474</v>
      </c>
      <c r="C38" s="60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1" t="s">
        <v>8474</v>
      </c>
      <c r="C39" s="60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1" t="s">
        <v>8474</v>
      </c>
      <c r="C40" s="60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1" t="s">
        <v>8474</v>
      </c>
      <c r="C41" s="60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1" t="s">
        <v>8474</v>
      </c>
      <c r="C42" s="60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1" t="s">
        <v>8474</v>
      </c>
      <c r="C43" s="60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1" t="s">
        <v>8474</v>
      </c>
      <c r="C44" s="60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1" t="s">
        <v>8474</v>
      </c>
      <c r="C45" s="60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1" t="s">
        <v>8474</v>
      </c>
      <c r="C46" s="60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1" t="s">
        <v>8474</v>
      </c>
      <c r="C47" s="60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1" t="s">
        <v>8474</v>
      </c>
      <c r="C48" s="60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1" t="s">
        <v>8474</v>
      </c>
      <c r="C49" s="60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1" t="s">
        <v>8474</v>
      </c>
      <c r="C50" s="60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1" t="s">
        <v>8474</v>
      </c>
      <c r="C51" s="60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1" t="s">
        <v>8474</v>
      </c>
      <c r="C52" s="60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1" t="s">
        <v>8474</v>
      </c>
      <c r="C53" s="60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1" t="s">
        <v>8474</v>
      </c>
      <c r="C54" s="60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1" t="s">
        <v>8474</v>
      </c>
      <c r="C55" s="60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1" t="s">
        <v>8474</v>
      </c>
      <c r="C56" s="60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1" t="s">
        <v>8474</v>
      </c>
      <c r="C57" s="60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1" t="s">
        <v>8474</v>
      </c>
      <c r="C58" s="60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1" t="s">
        <v>8474</v>
      </c>
      <c r="C59" s="60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1" t="s">
        <v>8474</v>
      </c>
      <c r="C60" s="60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1" t="s">
        <v>8474</v>
      </c>
      <c r="C61" s="60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1" t="s">
        <v>8474</v>
      </c>
      <c r="C62" s="60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1" t="s">
        <v>8474</v>
      </c>
      <c r="C63" s="60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1" t="s">
        <v>8474</v>
      </c>
      <c r="C64" s="60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1" t="s">
        <v>8474</v>
      </c>
      <c r="C65" s="60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1" t="s">
        <v>8474</v>
      </c>
      <c r="C66" s="60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1" t="s">
        <v>8474</v>
      </c>
      <c r="C67" s="60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1" t="s">
        <v>8474</v>
      </c>
      <c r="C68" s="60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1" t="s">
        <v>8474</v>
      </c>
      <c r="C69" s="60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1" t="s">
        <v>8474</v>
      </c>
      <c r="C70" s="60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/>
      </c>
      <c r="B71" s="61" t="s">
        <v>8474</v>
      </c>
      <c r="C71" s="60" t="n">
        <v>71</v>
      </c>
      <c r="D71" s="92" t="n">
        <f aca="false">SRC_HW!$O71</f>
        <v>0</v>
      </c>
      <c r="E71" s="92" t="n">
        <f aca="false">SRC_HW!$K71</f>
        <v>0</v>
      </c>
      <c r="F71" s="92" t="n">
        <f aca="false">SRC_HW!$S71</f>
        <v>0</v>
      </c>
    </row>
    <row r="72" customFormat="false" ht="15" hidden="false" customHeight="false" outlineLevel="0" collapsed="false">
      <c r="A72" s="92" t="str">
        <f aca="false">SRC_HW!$A72&amp;""</f>
        <v/>
      </c>
      <c r="B72" s="61" t="s">
        <v>8474</v>
      </c>
      <c r="C72" s="60" t="n">
        <v>72</v>
      </c>
      <c r="D72" s="92" t="n">
        <f aca="false">SRC_HW!$O72</f>
        <v>0</v>
      </c>
      <c r="E72" s="92" t="n">
        <f aca="false">SRC_HW!$K72</f>
        <v>0</v>
      </c>
      <c r="F72" s="92" t="n">
        <f aca="false">SRC_HW!$S72</f>
        <v>0</v>
      </c>
    </row>
    <row r="73" customFormat="false" ht="15" hidden="false" customHeight="false" outlineLevel="0" collapsed="false">
      <c r="A73" s="92" t="str">
        <f aca="false">SRC_HW!$A73&amp;""</f>
        <v/>
      </c>
      <c r="B73" s="61" t="s">
        <v>8474</v>
      </c>
      <c r="C73" s="60" t="n">
        <v>73</v>
      </c>
      <c r="D73" s="92" t="n">
        <f aca="false">SRC_HW!$O73</f>
        <v>0</v>
      </c>
      <c r="E73" s="92" t="n">
        <f aca="false">SRC_HW!$K73</f>
        <v>0</v>
      </c>
      <c r="F73" s="92" t="n">
        <f aca="false">SRC_HW!$S73</f>
        <v>0</v>
      </c>
    </row>
    <row r="74" customFormat="false" ht="15" hidden="false" customHeight="false" outlineLevel="0" collapsed="false">
      <c r="A74" s="92" t="str">
        <f aca="false">SRC_HW!$A74&amp;""</f>
        <v/>
      </c>
      <c r="B74" s="61" t="s">
        <v>8474</v>
      </c>
      <c r="C74" s="60" t="n">
        <v>74</v>
      </c>
      <c r="D74" s="92" t="n">
        <f aca="false">SRC_HW!$O74</f>
        <v>0</v>
      </c>
      <c r="E74" s="92" t="n">
        <f aca="false">SRC_HW!$K74</f>
        <v>0</v>
      </c>
      <c r="F74" s="92" t="n">
        <f aca="false">SRC_HW!$S74</f>
        <v>0</v>
      </c>
    </row>
    <row r="75" customFormat="false" ht="15" hidden="false" customHeight="false" outlineLevel="0" collapsed="false">
      <c r="A75" s="92" t="str">
        <f aca="false">SRC_HW!$A75&amp;""</f>
        <v/>
      </c>
      <c r="B75" s="61" t="s">
        <v>8474</v>
      </c>
      <c r="C75" s="60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1" t="s">
        <v>8474</v>
      </c>
      <c r="C76" s="60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1" t="s">
        <v>8474</v>
      </c>
      <c r="C77" s="60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1" t="s">
        <v>8474</v>
      </c>
      <c r="C78" s="60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1" t="s">
        <v>8474</v>
      </c>
      <c r="C79" s="60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1" t="s">
        <v>8474</v>
      </c>
      <c r="C80" s="60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1" t="s">
        <v>8474</v>
      </c>
      <c r="C81" s="60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1" t="s">
        <v>8474</v>
      </c>
      <c r="C82" s="60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1" t="s">
        <v>8474</v>
      </c>
      <c r="C83" s="60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1" t="s">
        <v>8474</v>
      </c>
      <c r="C84" s="60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1" t="s">
        <v>8474</v>
      </c>
      <c r="C85" s="60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1" t="s">
        <v>8474</v>
      </c>
      <c r="C86" s="60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1" t="s">
        <v>8474</v>
      </c>
      <c r="C87" s="60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1" t="s">
        <v>8474</v>
      </c>
      <c r="C88" s="60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1" t="s">
        <v>8474</v>
      </c>
      <c r="C89" s="60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1" t="s">
        <v>8474</v>
      </c>
      <c r="C90" s="60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1" t="s">
        <v>8474</v>
      </c>
      <c r="C91" s="60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1" t="s">
        <v>8474</v>
      </c>
      <c r="C92" s="60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1" t="s">
        <v>8474</v>
      </c>
      <c r="C93" s="60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1" t="s">
        <v>8474</v>
      </c>
      <c r="C94" s="60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1" t="s">
        <v>8474</v>
      </c>
      <c r="C95" s="60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1" t="s">
        <v>8474</v>
      </c>
      <c r="C96" s="60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1" t="s">
        <v>8474</v>
      </c>
      <c r="C97" s="60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1" t="s">
        <v>8474</v>
      </c>
      <c r="C98" s="60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1" t="s">
        <v>8474</v>
      </c>
      <c r="C99" s="60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1" t="s">
        <v>8474</v>
      </c>
      <c r="C100" s="60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1" t="s">
        <v>8474</v>
      </c>
      <c r="C101" s="60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1" t="s">
        <v>8474</v>
      </c>
      <c r="C102" s="60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1" t="s">
        <v>8474</v>
      </c>
      <c r="C103" s="60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1" t="s">
        <v>8474</v>
      </c>
      <c r="C104" s="60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1" t="s">
        <v>8474</v>
      </c>
      <c r="C105" s="60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1" t="s">
        <v>8474</v>
      </c>
      <c r="C106" s="60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1" t="s">
        <v>8474</v>
      </c>
      <c r="C107" s="60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1" t="s">
        <v>8474</v>
      </c>
      <c r="C108" s="60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1" t="s">
        <v>8474</v>
      </c>
      <c r="C109" s="60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1" t="s">
        <v>8474</v>
      </c>
      <c r="C110" s="60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1" t="s">
        <v>8474</v>
      </c>
      <c r="C111" s="60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1" t="s">
        <v>8474</v>
      </c>
      <c r="C112" s="60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1" t="s">
        <v>8474</v>
      </c>
      <c r="C113" s="60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1" t="s">
        <v>8474</v>
      </c>
      <c r="C114" s="60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1" t="s">
        <v>8474</v>
      </c>
      <c r="C115" s="60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1" t="s">
        <v>8474</v>
      </c>
      <c r="C116" s="60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1" t="s">
        <v>8474</v>
      </c>
      <c r="C117" s="60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1" t="s">
        <v>8474</v>
      </c>
      <c r="C118" s="60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1" t="s">
        <v>8474</v>
      </c>
      <c r="C119" s="60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1" t="s">
        <v>8474</v>
      </c>
      <c r="C120" s="60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SRC_DC!$A5&amp;""</f>
        <v>SRC_DC_001</v>
      </c>
      <c r="B121" s="61" t="s">
        <v>8475</v>
      </c>
      <c r="C121" s="60" t="n">
        <v>5</v>
      </c>
      <c r="D121" s="92" t="str">
        <f aca="false">SRC_DC!$O5</f>
        <v>Active</v>
      </c>
      <c r="E121" s="92" t="n">
        <f aca="false">SRC_DC!$K5</f>
        <v>3</v>
      </c>
      <c r="F121" s="92" t="str">
        <f aca="false">SRC_DC!$S5</f>
        <v>—</v>
      </c>
    </row>
    <row r="122" customFormat="false" ht="15" hidden="false" customHeight="false" outlineLevel="0" collapsed="false">
      <c r="A122" s="92" t="str">
        <f aca="false">SRC_DC!$A6&amp;""</f>
        <v>SRC_DC_002</v>
      </c>
      <c r="B122" s="61" t="s">
        <v>8475</v>
      </c>
      <c r="C122" s="60" t="n">
        <v>6</v>
      </c>
      <c r="D122" s="92" t="str">
        <f aca="false">SRC_DC!$O6</f>
        <v>Active</v>
      </c>
      <c r="E122" s="92" t="n">
        <f aca="false">SRC_DC!$K6</f>
        <v>3</v>
      </c>
      <c r="F122" s="92" t="str">
        <f aca="false">SRC_DC!$S6</f>
        <v>—</v>
      </c>
    </row>
    <row r="123" customFormat="false" ht="15" hidden="false" customHeight="false" outlineLevel="0" collapsed="false">
      <c r="A123" s="92" t="str">
        <f aca="false">SRC_DC!$A7&amp;""</f>
        <v>SRC_DC_003</v>
      </c>
      <c r="B123" s="61" t="s">
        <v>8475</v>
      </c>
      <c r="C123" s="60" t="n">
        <v>7</v>
      </c>
      <c r="D123" s="92" t="str">
        <f aca="false">SRC_DC!$O7</f>
        <v>Active</v>
      </c>
      <c r="E123" s="92" t="n">
        <f aca="false">SRC_DC!$K7</f>
        <v>3</v>
      </c>
      <c r="F123" s="92" t="str">
        <f aca="false">SRC_DC!$S7</f>
        <v>—</v>
      </c>
    </row>
    <row r="124" customFormat="false" ht="15" hidden="false" customHeight="false" outlineLevel="0" collapsed="false">
      <c r="A124" s="92" t="str">
        <f aca="false">SRC_DC!$A8&amp;""</f>
        <v>SRC_DC_004</v>
      </c>
      <c r="B124" s="61" t="s">
        <v>8475</v>
      </c>
      <c r="C124" s="60" t="n">
        <v>8</v>
      </c>
      <c r="D124" s="92" t="str">
        <f aca="false">SRC_DC!$O8</f>
        <v>Active</v>
      </c>
      <c r="E124" s="92" t="n">
        <f aca="false">SRC_DC!$K8</f>
        <v>3</v>
      </c>
      <c r="F124" s="92" t="str">
        <f aca="false">SRC_DC!$S8</f>
        <v>—</v>
      </c>
    </row>
    <row r="125" customFormat="false" ht="15" hidden="false" customHeight="false" outlineLevel="0" collapsed="false">
      <c r="A125" s="92" t="str">
        <f aca="false">SRC_DC!$A9&amp;""</f>
        <v>SRC_DC_005</v>
      </c>
      <c r="B125" s="61" t="s">
        <v>8475</v>
      </c>
      <c r="C125" s="60" t="n">
        <v>9</v>
      </c>
      <c r="D125" s="92" t="str">
        <f aca="false">SRC_DC!$O9</f>
        <v>Active</v>
      </c>
      <c r="E125" s="92" t="n">
        <f aca="false">SRC_DC!$K9</f>
        <v>2</v>
      </c>
      <c r="F125" s="92" t="str">
        <f aca="false">SRC_DC!$S9</f>
        <v>—</v>
      </c>
    </row>
    <row r="126" customFormat="false" ht="15" hidden="false" customHeight="false" outlineLevel="0" collapsed="false">
      <c r="A126" s="92" t="str">
        <f aca="false">SRC_DC!$A10&amp;""</f>
        <v>SRC_DC_006</v>
      </c>
      <c r="B126" s="61" t="s">
        <v>8475</v>
      </c>
      <c r="C126" s="60" t="n">
        <v>10</v>
      </c>
      <c r="D126" s="92" t="str">
        <f aca="false">SRC_DC!$O10</f>
        <v>Active</v>
      </c>
      <c r="E126" s="92" t="n">
        <f aca="false">SRC_DC!$K10</f>
        <v>2</v>
      </c>
      <c r="F126" s="92" t="str">
        <f aca="false">SRC_DC!$S10</f>
        <v>—</v>
      </c>
    </row>
    <row r="127" customFormat="false" ht="15" hidden="false" customHeight="false" outlineLevel="0" collapsed="false">
      <c r="A127" s="92" t="str">
        <f aca="false">SRC_DC!$A11&amp;""</f>
        <v>SRC_DC_007</v>
      </c>
      <c r="B127" s="61" t="s">
        <v>8475</v>
      </c>
      <c r="C127" s="60" t="n">
        <v>11</v>
      </c>
      <c r="D127" s="92" t="str">
        <f aca="false">SRC_DC!$O11</f>
        <v>Active</v>
      </c>
      <c r="E127" s="92" t="n">
        <f aca="false">SRC_DC!$K11</f>
        <v>2</v>
      </c>
      <c r="F127" s="92" t="str">
        <f aca="false">SRC_DC!$S11</f>
        <v>—</v>
      </c>
    </row>
    <row r="128" customFormat="false" ht="15" hidden="false" customHeight="false" outlineLevel="0" collapsed="false">
      <c r="A128" s="92" t="str">
        <f aca="false">SRC_DC!$A12&amp;""</f>
        <v>SRC_DC_008</v>
      </c>
      <c r="B128" s="61" t="s">
        <v>8475</v>
      </c>
      <c r="C128" s="60" t="n">
        <v>12</v>
      </c>
      <c r="D128" s="92" t="str">
        <f aca="false">SRC_DC!$O12</f>
        <v>Active</v>
      </c>
      <c r="E128" s="92" t="n">
        <f aca="false">SRC_DC!$K12</f>
        <v>2</v>
      </c>
      <c r="F128" s="92" t="str">
        <f aca="false">SRC_DC!$S12</f>
        <v>—</v>
      </c>
    </row>
    <row r="129" customFormat="false" ht="15" hidden="false" customHeight="false" outlineLevel="0" collapsed="false">
      <c r="A129" s="92" t="str">
        <f aca="false">SRC_DC!$A13&amp;""</f>
        <v>SRC_DC_009</v>
      </c>
      <c r="B129" s="61" t="s">
        <v>8475</v>
      </c>
      <c r="C129" s="60" t="n">
        <v>13</v>
      </c>
      <c r="D129" s="92" t="str">
        <f aca="false">SRC_DC!$O13</f>
        <v>Active</v>
      </c>
      <c r="E129" s="92" t="n">
        <f aca="false">SRC_DC!$K13</f>
        <v>2</v>
      </c>
      <c r="F129" s="92" t="str">
        <f aca="false">SRC_DC!$S13</f>
        <v>—</v>
      </c>
    </row>
    <row r="130" customFormat="false" ht="15" hidden="false" customHeight="false" outlineLevel="0" collapsed="false">
      <c r="A130" s="92" t="str">
        <f aca="false">SRC_DC!$A14&amp;""</f>
        <v>SRC_DC_010</v>
      </c>
      <c r="B130" s="61" t="s">
        <v>8475</v>
      </c>
      <c r="C130" s="60" t="n">
        <v>14</v>
      </c>
      <c r="D130" s="92" t="str">
        <f aca="false">SRC_DC!$O14</f>
        <v>Active</v>
      </c>
      <c r="E130" s="92" t="n">
        <f aca="false">SRC_DC!$K14</f>
        <v>3</v>
      </c>
      <c r="F130" s="92" t="str">
        <f aca="false">SRC_DC!$S14</f>
        <v>—</v>
      </c>
    </row>
    <row r="131" customFormat="false" ht="15" hidden="false" customHeight="false" outlineLevel="0" collapsed="false">
      <c r="A131" s="92" t="str">
        <f aca="false">SRC_DC!$A15&amp;""</f>
        <v>SRC_DC_011</v>
      </c>
      <c r="B131" s="61" t="s">
        <v>8475</v>
      </c>
      <c r="C131" s="60" t="n">
        <v>15</v>
      </c>
      <c r="D131" s="92" t="str">
        <f aca="false">SRC_DC!$O15</f>
        <v>Active</v>
      </c>
      <c r="E131" s="92" t="n">
        <f aca="false">SRC_DC!$K15</f>
        <v>3</v>
      </c>
      <c r="F131" s="92" t="str">
        <f aca="false">SRC_DC!$S15</f>
        <v>—</v>
      </c>
    </row>
    <row r="132" customFormat="false" ht="15" hidden="false" customHeight="false" outlineLevel="0" collapsed="false">
      <c r="A132" s="92" t="str">
        <f aca="false">SRC_DC!$A16&amp;""</f>
        <v>SRC_DC_012</v>
      </c>
      <c r="B132" s="61" t="s">
        <v>8475</v>
      </c>
      <c r="C132" s="60" t="n">
        <v>16</v>
      </c>
      <c r="D132" s="92" t="str">
        <f aca="false">SRC_DC!$O16</f>
        <v>Active</v>
      </c>
      <c r="E132" s="92" t="n">
        <f aca="false">SRC_DC!$K16</f>
        <v>2</v>
      </c>
      <c r="F132" s="92" t="str">
        <f aca="false">SRC_DC!$S16</f>
        <v>—</v>
      </c>
    </row>
    <row r="133" customFormat="false" ht="15" hidden="false" customHeight="false" outlineLevel="0" collapsed="false">
      <c r="A133" s="92" t="str">
        <f aca="false">SRC_DC!$A17&amp;""</f>
        <v>SRC_DC_013</v>
      </c>
      <c r="B133" s="61" t="s">
        <v>8475</v>
      </c>
      <c r="C133" s="60" t="n">
        <v>17</v>
      </c>
      <c r="D133" s="92" t="str">
        <f aca="false">SRC_DC!$O17</f>
        <v>Active</v>
      </c>
      <c r="E133" s="92" t="n">
        <f aca="false">SRC_DC!$K17</f>
        <v>2</v>
      </c>
      <c r="F133" s="92" t="str">
        <f aca="false">SRC_DC!$S17</f>
        <v>—</v>
      </c>
    </row>
    <row r="134" customFormat="false" ht="15" hidden="false" customHeight="false" outlineLevel="0" collapsed="false">
      <c r="A134" s="92" t="str">
        <f aca="false">SRC_DC!$A18&amp;""</f>
        <v>SRC_DC_014</v>
      </c>
      <c r="B134" s="61" t="s">
        <v>8475</v>
      </c>
      <c r="C134" s="60" t="n">
        <v>18</v>
      </c>
      <c r="D134" s="92" t="str">
        <f aca="false">SRC_DC!$O18</f>
        <v>Active</v>
      </c>
      <c r="E134" s="92" t="n">
        <f aca="false">SRC_DC!$K18</f>
        <v>1</v>
      </c>
      <c r="F134" s="92" t="str">
        <f aca="false">SRC_DC!$S18</f>
        <v>—</v>
      </c>
    </row>
    <row r="135" customFormat="false" ht="15" hidden="false" customHeight="false" outlineLevel="0" collapsed="false">
      <c r="A135" s="92" t="str">
        <f aca="false">SRC_DC!$A19&amp;""</f>
        <v>SRC_DC_015</v>
      </c>
      <c r="B135" s="61" t="s">
        <v>8475</v>
      </c>
      <c r="C135" s="60" t="n">
        <v>19</v>
      </c>
      <c r="D135" s="92" t="str">
        <f aca="false">SRC_DC!$O19</f>
        <v>Active</v>
      </c>
      <c r="E135" s="92" t="n">
        <f aca="false">SRC_DC!$K19</f>
        <v>1</v>
      </c>
      <c r="F135" s="92" t="str">
        <f aca="false">SRC_DC!$S19</f>
        <v>—</v>
      </c>
    </row>
    <row r="136" customFormat="false" ht="15" hidden="false" customHeight="false" outlineLevel="0" collapsed="false">
      <c r="A136" s="92" t="str">
        <f aca="false">SRC_DC!$A20&amp;""</f>
        <v>SRC_DC_016</v>
      </c>
      <c r="B136" s="61" t="s">
        <v>8475</v>
      </c>
      <c r="C136" s="60" t="n">
        <v>20</v>
      </c>
      <c r="D136" s="92" t="str">
        <f aca="false">SRC_DC!$O20</f>
        <v>Active</v>
      </c>
      <c r="E136" s="92" t="n">
        <f aca="false">SRC_DC!$K20</f>
        <v>1</v>
      </c>
      <c r="F136" s="92" t="str">
        <f aca="false">SRC_DC!$S20</f>
        <v>—</v>
      </c>
    </row>
    <row r="137" customFormat="false" ht="15" hidden="false" customHeight="false" outlineLevel="0" collapsed="false">
      <c r="A137" s="92" t="str">
        <f aca="false">SRC_DC!$A21&amp;""</f>
        <v>SRC_DC_017</v>
      </c>
      <c r="B137" s="61" t="s">
        <v>8475</v>
      </c>
      <c r="C137" s="60" t="n">
        <v>21</v>
      </c>
      <c r="D137" s="92" t="str">
        <f aca="false">SRC_DC!$O21</f>
        <v>Active</v>
      </c>
      <c r="E137" s="92" t="n">
        <f aca="false">SRC_DC!$K21</f>
        <v>2</v>
      </c>
      <c r="F137" s="92" t="str">
        <f aca="false">SRC_DC!$S21</f>
        <v>—</v>
      </c>
    </row>
    <row r="138" customFormat="false" ht="15" hidden="false" customHeight="false" outlineLevel="0" collapsed="false">
      <c r="A138" s="92" t="str">
        <f aca="false">SRC_DC!$A22&amp;""</f>
        <v/>
      </c>
      <c r="B138" s="61" t="s">
        <v>8475</v>
      </c>
      <c r="C138" s="60" t="n">
        <v>22</v>
      </c>
      <c r="D138" s="92" t="n">
        <f aca="false">SRC_DC!$O22</f>
        <v>0</v>
      </c>
      <c r="E138" s="92" t="n">
        <f aca="false">SRC_DC!$K22</f>
        <v>0</v>
      </c>
      <c r="F138" s="92" t="n">
        <f aca="false">SRC_DC!$S22</f>
        <v>0</v>
      </c>
    </row>
    <row r="139" customFormat="false" ht="15" hidden="false" customHeight="false" outlineLevel="0" collapsed="false">
      <c r="A139" s="92" t="str">
        <f aca="false">SRC_DC!$A23&amp;""</f>
        <v/>
      </c>
      <c r="B139" s="61" t="s">
        <v>8475</v>
      </c>
      <c r="C139" s="60" t="n">
        <v>23</v>
      </c>
      <c r="D139" s="92" t="n">
        <f aca="false">SRC_DC!$O23</f>
        <v>0</v>
      </c>
      <c r="E139" s="92" t="n">
        <f aca="false">SRC_DC!$K23</f>
        <v>0</v>
      </c>
      <c r="F139" s="92" t="n">
        <f aca="false">SRC_DC!$S23</f>
        <v>0</v>
      </c>
    </row>
    <row r="140" customFormat="false" ht="15" hidden="false" customHeight="false" outlineLevel="0" collapsed="false">
      <c r="A140" s="92" t="str">
        <f aca="false">SRC_DC!$A24&amp;""</f>
        <v/>
      </c>
      <c r="B140" s="61" t="s">
        <v>8475</v>
      </c>
      <c r="C140" s="60" t="n">
        <v>24</v>
      </c>
      <c r="D140" s="92" t="n">
        <f aca="false">SRC_DC!$O24</f>
        <v>0</v>
      </c>
      <c r="E140" s="92" t="n">
        <f aca="false">SRC_DC!$K24</f>
        <v>0</v>
      </c>
      <c r="F140" s="92" t="n">
        <f aca="false">SRC_DC!$S24</f>
        <v>0</v>
      </c>
    </row>
    <row r="141" customFormat="false" ht="15" hidden="false" customHeight="false" outlineLevel="0" collapsed="false">
      <c r="A141" s="92" t="str">
        <f aca="false">SRC_DC!$A25&amp;""</f>
        <v/>
      </c>
      <c r="B141" s="61" t="s">
        <v>8475</v>
      </c>
      <c r="C141" s="60" t="n">
        <v>25</v>
      </c>
      <c r="D141" s="92" t="n">
        <f aca="false">SRC_DC!$O25</f>
        <v>0</v>
      </c>
      <c r="E141" s="92" t="n">
        <f aca="false">SRC_DC!$K25</f>
        <v>0</v>
      </c>
      <c r="F141" s="92" t="n">
        <f aca="false">SRC_DC!$S25</f>
        <v>0</v>
      </c>
    </row>
    <row r="142" customFormat="false" ht="15" hidden="false" customHeight="false" outlineLevel="0" collapsed="false">
      <c r="A142" s="92" t="str">
        <f aca="false">SRC_DC!$A26&amp;""</f>
        <v/>
      </c>
      <c r="B142" s="61" t="s">
        <v>8475</v>
      </c>
      <c r="C142" s="60" t="n">
        <v>26</v>
      </c>
      <c r="D142" s="92" t="n">
        <f aca="false">SRC_DC!$O26</f>
        <v>0</v>
      </c>
      <c r="E142" s="92" t="n">
        <f aca="false">SRC_DC!$K26</f>
        <v>0</v>
      </c>
      <c r="F142" s="92" t="n">
        <f aca="false">SRC_DC!$S26</f>
        <v>0</v>
      </c>
    </row>
    <row r="143" customFormat="false" ht="15" hidden="false" customHeight="false" outlineLevel="0" collapsed="false">
      <c r="A143" s="92" t="str">
        <f aca="false">SRC_DC!$A27&amp;""</f>
        <v/>
      </c>
      <c r="B143" s="61" t="s">
        <v>8475</v>
      </c>
      <c r="C143" s="60" t="n">
        <v>27</v>
      </c>
      <c r="D143" s="92" t="n">
        <f aca="false">SRC_DC!$O27</f>
        <v>0</v>
      </c>
      <c r="E143" s="92" t="n">
        <f aca="false">SRC_DC!$K27</f>
        <v>0</v>
      </c>
      <c r="F143" s="92" t="n">
        <f aca="false">SRC_DC!$S27</f>
        <v>0</v>
      </c>
    </row>
    <row r="144" customFormat="false" ht="15" hidden="false" customHeight="false" outlineLevel="0" collapsed="false">
      <c r="A144" s="92" t="str">
        <f aca="false">SRC_DC!$A28&amp;""</f>
        <v/>
      </c>
      <c r="B144" s="61" t="s">
        <v>8475</v>
      </c>
      <c r="C144" s="60" t="n">
        <v>28</v>
      </c>
      <c r="D144" s="92" t="n">
        <f aca="false">SRC_DC!$O28</f>
        <v>0</v>
      </c>
      <c r="E144" s="92" t="n">
        <f aca="false">SRC_DC!$K28</f>
        <v>0</v>
      </c>
      <c r="F144" s="92" t="n">
        <f aca="false">SRC_DC!$S28</f>
        <v>0</v>
      </c>
    </row>
    <row r="145" customFormat="false" ht="15" hidden="false" customHeight="false" outlineLevel="0" collapsed="false">
      <c r="A145" s="92" t="str">
        <f aca="false">SRC_DC!$A29&amp;""</f>
        <v/>
      </c>
      <c r="B145" s="61" t="s">
        <v>8475</v>
      </c>
      <c r="C145" s="60" t="n">
        <v>29</v>
      </c>
      <c r="D145" s="92" t="n">
        <f aca="false">SRC_DC!$O29</f>
        <v>0</v>
      </c>
      <c r="E145" s="92" t="n">
        <f aca="false">SRC_DC!$K29</f>
        <v>0</v>
      </c>
      <c r="F145" s="92" t="n">
        <f aca="false">SRC_DC!$S29</f>
        <v>0</v>
      </c>
    </row>
    <row r="146" customFormat="false" ht="15" hidden="false" customHeight="false" outlineLevel="0" collapsed="false">
      <c r="A146" s="92" t="str">
        <f aca="false">SRC_DC!$A30&amp;""</f>
        <v/>
      </c>
      <c r="B146" s="61" t="s">
        <v>8475</v>
      </c>
      <c r="C146" s="60" t="n">
        <v>30</v>
      </c>
      <c r="D146" s="92" t="n">
        <f aca="false">SRC_DC!$O30</f>
        <v>0</v>
      </c>
      <c r="E146" s="92" t="n">
        <f aca="false">SRC_DC!$K30</f>
        <v>0</v>
      </c>
      <c r="F146" s="92" t="n">
        <f aca="false">SRC_DC!$S30</f>
        <v>0</v>
      </c>
    </row>
    <row r="147" customFormat="false" ht="15" hidden="false" customHeight="false" outlineLevel="0" collapsed="false">
      <c r="A147" s="92" t="str">
        <f aca="false">SRC_DC!$A31&amp;""</f>
        <v/>
      </c>
      <c r="B147" s="61" t="s">
        <v>8475</v>
      </c>
      <c r="C147" s="60" t="n">
        <v>31</v>
      </c>
      <c r="D147" s="92" t="n">
        <f aca="false">SRC_DC!$O31</f>
        <v>0</v>
      </c>
      <c r="E147" s="92" t="n">
        <f aca="false">SRC_DC!$K31</f>
        <v>0</v>
      </c>
      <c r="F147" s="92" t="n">
        <f aca="false">SRC_DC!$S31</f>
        <v>0</v>
      </c>
    </row>
    <row r="148" customFormat="false" ht="15" hidden="false" customHeight="false" outlineLevel="0" collapsed="false">
      <c r="A148" s="92" t="str">
        <f aca="false">SRC_DC!$A32&amp;""</f>
        <v/>
      </c>
      <c r="B148" s="61" t="s">
        <v>8475</v>
      </c>
      <c r="C148" s="60" t="n">
        <v>32</v>
      </c>
      <c r="D148" s="92" t="n">
        <f aca="false">SRC_DC!$O32</f>
        <v>0</v>
      </c>
      <c r="E148" s="92" t="n">
        <f aca="false">SRC_DC!$K32</f>
        <v>0</v>
      </c>
      <c r="F148" s="92" t="n">
        <f aca="false">SRC_DC!$S32</f>
        <v>0</v>
      </c>
    </row>
    <row r="149" customFormat="false" ht="15" hidden="false" customHeight="false" outlineLevel="0" collapsed="false">
      <c r="A149" s="92" t="str">
        <f aca="false">SRC_DC!$A33&amp;""</f>
        <v/>
      </c>
      <c r="B149" s="61" t="s">
        <v>8475</v>
      </c>
      <c r="C149" s="60" t="n">
        <v>33</v>
      </c>
      <c r="D149" s="92" t="n">
        <f aca="false">SRC_DC!$O33</f>
        <v>0</v>
      </c>
      <c r="E149" s="92" t="n">
        <f aca="false">SRC_DC!$K33</f>
        <v>0</v>
      </c>
      <c r="F149" s="92" t="n">
        <f aca="false">SRC_DC!$S33</f>
        <v>0</v>
      </c>
    </row>
    <row r="150" customFormat="false" ht="15" hidden="false" customHeight="false" outlineLevel="0" collapsed="false">
      <c r="A150" s="92" t="str">
        <f aca="false">SRC_DC!$A34&amp;""</f>
        <v/>
      </c>
      <c r="B150" s="61" t="s">
        <v>8475</v>
      </c>
      <c r="C150" s="60" t="n">
        <v>34</v>
      </c>
      <c r="D150" s="92" t="n">
        <f aca="false">SRC_DC!$O34</f>
        <v>0</v>
      </c>
      <c r="E150" s="92" t="n">
        <f aca="false">SRC_DC!$K34</f>
        <v>0</v>
      </c>
      <c r="F150" s="92" t="n">
        <f aca="false">SRC_DC!$S34</f>
        <v>0</v>
      </c>
    </row>
    <row r="151" customFormat="false" ht="15" hidden="false" customHeight="false" outlineLevel="0" collapsed="false">
      <c r="A151" s="92" t="str">
        <f aca="false">SRC_DC!$A35&amp;""</f>
        <v/>
      </c>
      <c r="B151" s="61" t="s">
        <v>8475</v>
      </c>
      <c r="C151" s="60" t="n">
        <v>35</v>
      </c>
      <c r="D151" s="92" t="n">
        <f aca="false">SRC_DC!$O35</f>
        <v>0</v>
      </c>
      <c r="E151" s="92" t="n">
        <f aca="false">SRC_DC!$K35</f>
        <v>0</v>
      </c>
      <c r="F151" s="92" t="n">
        <f aca="false">SRC_DC!$S35</f>
        <v>0</v>
      </c>
    </row>
    <row r="152" customFormat="false" ht="15" hidden="false" customHeight="false" outlineLevel="0" collapsed="false">
      <c r="A152" s="92" t="str">
        <f aca="false">SRC_DC!$A36&amp;""</f>
        <v/>
      </c>
      <c r="B152" s="61" t="s">
        <v>8475</v>
      </c>
      <c r="C152" s="60" t="n">
        <v>36</v>
      </c>
      <c r="D152" s="92" t="n">
        <f aca="false">SRC_DC!$O36</f>
        <v>0</v>
      </c>
      <c r="E152" s="92" t="n">
        <f aca="false">SRC_DC!$K36</f>
        <v>0</v>
      </c>
      <c r="F152" s="92" t="n">
        <f aca="false">SRC_DC!$S36</f>
        <v>0</v>
      </c>
    </row>
    <row r="153" customFormat="false" ht="15" hidden="false" customHeight="false" outlineLevel="0" collapsed="false">
      <c r="A153" s="92" t="str">
        <f aca="false">SRC_DC!$A37&amp;""</f>
        <v/>
      </c>
      <c r="B153" s="61" t="s">
        <v>8475</v>
      </c>
      <c r="C153" s="60" t="n">
        <v>37</v>
      </c>
      <c r="D153" s="92" t="n">
        <f aca="false">SRC_DC!$O37</f>
        <v>0</v>
      </c>
      <c r="E153" s="92" t="n">
        <f aca="false">SRC_DC!$K37</f>
        <v>0</v>
      </c>
      <c r="F153" s="92" t="n">
        <f aca="false">SRC_DC!$S37</f>
        <v>0</v>
      </c>
    </row>
    <row r="154" customFormat="false" ht="15" hidden="false" customHeight="false" outlineLevel="0" collapsed="false">
      <c r="A154" s="92" t="str">
        <f aca="false">SRC_DC!$A38&amp;""</f>
        <v/>
      </c>
      <c r="B154" s="61" t="s">
        <v>8475</v>
      </c>
      <c r="C154" s="60" t="n">
        <v>38</v>
      </c>
      <c r="D154" s="92" t="n">
        <f aca="false">SRC_DC!$O38</f>
        <v>0</v>
      </c>
      <c r="E154" s="92" t="n">
        <f aca="false">SRC_DC!$K38</f>
        <v>0</v>
      </c>
      <c r="F154" s="92" t="n">
        <f aca="false">SRC_DC!$S38</f>
        <v>0</v>
      </c>
    </row>
    <row r="155" customFormat="false" ht="15" hidden="false" customHeight="false" outlineLevel="0" collapsed="false">
      <c r="A155" s="92" t="str">
        <f aca="false">SRC_DC!$A39&amp;""</f>
        <v/>
      </c>
      <c r="B155" s="61" t="s">
        <v>8475</v>
      </c>
      <c r="C155" s="60" t="n">
        <v>39</v>
      </c>
      <c r="D155" s="92" t="n">
        <f aca="false">SRC_DC!$O39</f>
        <v>0</v>
      </c>
      <c r="E155" s="92" t="n">
        <f aca="false">SRC_DC!$K39</f>
        <v>0</v>
      </c>
      <c r="F155" s="92" t="n">
        <f aca="false">SRC_DC!$S39</f>
        <v>0</v>
      </c>
    </row>
    <row r="156" customFormat="false" ht="15" hidden="false" customHeight="false" outlineLevel="0" collapsed="false">
      <c r="A156" s="92" t="str">
        <f aca="false">SRC_DC!$A40&amp;""</f>
        <v/>
      </c>
      <c r="B156" s="61" t="s">
        <v>8475</v>
      </c>
      <c r="C156" s="60" t="n">
        <v>40</v>
      </c>
      <c r="D156" s="92" t="n">
        <f aca="false">SRC_DC!$O40</f>
        <v>0</v>
      </c>
      <c r="E156" s="92" t="n">
        <f aca="false">SRC_DC!$K40</f>
        <v>0</v>
      </c>
      <c r="F156" s="92" t="n">
        <f aca="false">SRC_DC!$S40</f>
        <v>0</v>
      </c>
    </row>
    <row r="157" customFormat="false" ht="15" hidden="false" customHeight="false" outlineLevel="0" collapsed="false">
      <c r="A157" s="92" t="str">
        <f aca="false">SRC_DC!$A41&amp;""</f>
        <v/>
      </c>
      <c r="B157" s="61" t="s">
        <v>8475</v>
      </c>
      <c r="C157" s="60" t="n">
        <v>41</v>
      </c>
      <c r="D157" s="92" t="n">
        <f aca="false">SRC_DC!$O41</f>
        <v>0</v>
      </c>
      <c r="E157" s="92" t="n">
        <f aca="false">SRC_DC!$K41</f>
        <v>0</v>
      </c>
      <c r="F157" s="92" t="n">
        <f aca="false">SRC_DC!$S41</f>
        <v>0</v>
      </c>
    </row>
    <row r="158" customFormat="false" ht="15" hidden="false" customHeight="false" outlineLevel="0" collapsed="false">
      <c r="A158" s="92" t="str">
        <f aca="false">SRC_DC!$A42&amp;""</f>
        <v/>
      </c>
      <c r="B158" s="61" t="s">
        <v>8475</v>
      </c>
      <c r="C158" s="60" t="n">
        <v>42</v>
      </c>
      <c r="D158" s="92" t="n">
        <f aca="false">SRC_DC!$O42</f>
        <v>0</v>
      </c>
      <c r="E158" s="92" t="n">
        <f aca="false">SRC_DC!$K42</f>
        <v>0</v>
      </c>
      <c r="F158" s="92" t="n">
        <f aca="false">SRC_DC!$S42</f>
        <v>0</v>
      </c>
    </row>
    <row r="159" customFormat="false" ht="15" hidden="false" customHeight="false" outlineLevel="0" collapsed="false">
      <c r="A159" s="92" t="str">
        <f aca="false">SRC_DC!$A43&amp;""</f>
        <v/>
      </c>
      <c r="B159" s="61" t="s">
        <v>8475</v>
      </c>
      <c r="C159" s="60" t="n">
        <v>43</v>
      </c>
      <c r="D159" s="92" t="n">
        <f aca="false">SRC_DC!$O43</f>
        <v>0</v>
      </c>
      <c r="E159" s="92" t="n">
        <f aca="false">SRC_DC!$K43</f>
        <v>0</v>
      </c>
      <c r="F159" s="92" t="n">
        <f aca="false">SRC_DC!$S43</f>
        <v>0</v>
      </c>
    </row>
    <row r="160" customFormat="false" ht="15" hidden="false" customHeight="false" outlineLevel="0" collapsed="false">
      <c r="A160" s="92" t="str">
        <f aca="false">SRC_DC!$A44&amp;""</f>
        <v/>
      </c>
      <c r="B160" s="61" t="s">
        <v>8475</v>
      </c>
      <c r="C160" s="60" t="n">
        <v>44</v>
      </c>
      <c r="D160" s="92" t="n">
        <f aca="false">SRC_DC!$O44</f>
        <v>0</v>
      </c>
      <c r="E160" s="92" t="n">
        <f aca="false">SRC_DC!$K44</f>
        <v>0</v>
      </c>
      <c r="F160" s="92" t="n">
        <f aca="false">SRC_DC!$S44</f>
        <v>0</v>
      </c>
    </row>
    <row r="161" customFormat="false" ht="15" hidden="false" customHeight="false" outlineLevel="0" collapsed="false">
      <c r="A161" s="92" t="str">
        <f aca="false">SRC_DC!$A45&amp;""</f>
        <v/>
      </c>
      <c r="B161" s="61" t="s">
        <v>8475</v>
      </c>
      <c r="C161" s="60" t="n">
        <v>45</v>
      </c>
      <c r="D161" s="92" t="n">
        <f aca="false">SRC_DC!$O45</f>
        <v>0</v>
      </c>
      <c r="E161" s="92" t="n">
        <f aca="false">SRC_DC!$K45</f>
        <v>0</v>
      </c>
      <c r="F161" s="92" t="n">
        <f aca="false">SRC_DC!$S45</f>
        <v>0</v>
      </c>
    </row>
    <row r="162" customFormat="false" ht="15" hidden="false" customHeight="false" outlineLevel="0" collapsed="false">
      <c r="A162" s="92" t="str">
        <f aca="false">SRC_DC!$A46&amp;""</f>
        <v/>
      </c>
      <c r="B162" s="61" t="s">
        <v>8475</v>
      </c>
      <c r="C162" s="60" t="n">
        <v>46</v>
      </c>
      <c r="D162" s="92" t="n">
        <f aca="false">SRC_DC!$O46</f>
        <v>0</v>
      </c>
      <c r="E162" s="92" t="n">
        <f aca="false">SRC_DC!$K46</f>
        <v>0</v>
      </c>
      <c r="F162" s="92" t="n">
        <f aca="false">SRC_DC!$S46</f>
        <v>0</v>
      </c>
    </row>
    <row r="163" customFormat="false" ht="15" hidden="false" customHeight="false" outlineLevel="0" collapsed="false">
      <c r="A163" s="92" t="str">
        <f aca="false">SRC_DC!$A47&amp;""</f>
        <v/>
      </c>
      <c r="B163" s="61" t="s">
        <v>8475</v>
      </c>
      <c r="C163" s="60" t="n">
        <v>47</v>
      </c>
      <c r="D163" s="92" t="n">
        <f aca="false">SRC_DC!$O47</f>
        <v>0</v>
      </c>
      <c r="E163" s="92" t="n">
        <f aca="false">SRC_DC!$K47</f>
        <v>0</v>
      </c>
      <c r="F163" s="92" t="n">
        <f aca="false">SRC_DC!$S47</f>
        <v>0</v>
      </c>
    </row>
    <row r="164" customFormat="false" ht="15" hidden="false" customHeight="false" outlineLevel="0" collapsed="false">
      <c r="A164" s="92" t="str">
        <f aca="false">SRC_DC!$A48&amp;""</f>
        <v/>
      </c>
      <c r="B164" s="61" t="s">
        <v>8475</v>
      </c>
      <c r="C164" s="60" t="n">
        <v>48</v>
      </c>
      <c r="D164" s="92" t="n">
        <f aca="false">SRC_DC!$O48</f>
        <v>0</v>
      </c>
      <c r="E164" s="92" t="n">
        <f aca="false">SRC_DC!$K48</f>
        <v>0</v>
      </c>
      <c r="F164" s="92" t="n">
        <f aca="false">SRC_DC!$S48</f>
        <v>0</v>
      </c>
    </row>
    <row r="165" customFormat="false" ht="15" hidden="false" customHeight="false" outlineLevel="0" collapsed="false">
      <c r="A165" s="92" t="str">
        <f aca="false">SRC_DC!$A49&amp;""</f>
        <v/>
      </c>
      <c r="B165" s="61" t="s">
        <v>8475</v>
      </c>
      <c r="C165" s="60" t="n">
        <v>49</v>
      </c>
      <c r="D165" s="92" t="n">
        <f aca="false">SRC_DC!$O49</f>
        <v>0</v>
      </c>
      <c r="E165" s="92" t="n">
        <f aca="false">SRC_DC!$K49</f>
        <v>0</v>
      </c>
      <c r="F165" s="92" t="n">
        <f aca="false">SRC_DC!$S49</f>
        <v>0</v>
      </c>
    </row>
    <row r="166" customFormat="false" ht="15" hidden="false" customHeight="false" outlineLevel="0" collapsed="false">
      <c r="A166" s="92" t="str">
        <f aca="false">SRC_DC!$A50&amp;""</f>
        <v/>
      </c>
      <c r="B166" s="61" t="s">
        <v>8475</v>
      </c>
      <c r="C166" s="60" t="n">
        <v>50</v>
      </c>
      <c r="D166" s="92" t="n">
        <f aca="false">SRC_DC!$O50</f>
        <v>0</v>
      </c>
      <c r="E166" s="92" t="n">
        <f aca="false">SRC_DC!$K50</f>
        <v>0</v>
      </c>
      <c r="F166" s="92" t="n">
        <f aca="false">SRC_DC!$S50</f>
        <v>0</v>
      </c>
    </row>
    <row r="167" customFormat="false" ht="15" hidden="false" customHeight="false" outlineLevel="0" collapsed="false">
      <c r="A167" s="92" t="str">
        <f aca="false">SRC_DC!$A51&amp;""</f>
        <v/>
      </c>
      <c r="B167" s="61" t="s">
        <v>8475</v>
      </c>
      <c r="C167" s="60" t="n">
        <v>51</v>
      </c>
      <c r="D167" s="92" t="n">
        <f aca="false">SRC_DC!$O51</f>
        <v>0</v>
      </c>
      <c r="E167" s="92" t="n">
        <f aca="false">SRC_DC!$K51</f>
        <v>0</v>
      </c>
      <c r="F167" s="92" t="n">
        <f aca="false">SRC_DC!$S51</f>
        <v>0</v>
      </c>
    </row>
    <row r="168" customFormat="false" ht="15" hidden="false" customHeight="false" outlineLevel="0" collapsed="false">
      <c r="A168" s="92" t="str">
        <f aca="false">SRC_DC!$A52&amp;""</f>
        <v/>
      </c>
      <c r="B168" s="61" t="s">
        <v>8475</v>
      </c>
      <c r="C168" s="60" t="n">
        <v>52</v>
      </c>
      <c r="D168" s="92" t="n">
        <f aca="false">SRC_DC!$O52</f>
        <v>0</v>
      </c>
      <c r="E168" s="92" t="n">
        <f aca="false">SRC_DC!$K52</f>
        <v>0</v>
      </c>
      <c r="F168" s="92" t="n">
        <f aca="false">SRC_DC!$S52</f>
        <v>0</v>
      </c>
    </row>
    <row r="169" customFormat="false" ht="15" hidden="false" customHeight="false" outlineLevel="0" collapsed="false">
      <c r="A169" s="92" t="str">
        <f aca="false">SRC_DC!$A53&amp;""</f>
        <v/>
      </c>
      <c r="B169" s="61" t="s">
        <v>8475</v>
      </c>
      <c r="C169" s="60" t="n">
        <v>53</v>
      </c>
      <c r="D169" s="92" t="n">
        <f aca="false">SRC_DC!$O53</f>
        <v>0</v>
      </c>
      <c r="E169" s="92" t="n">
        <f aca="false">SRC_DC!$K53</f>
        <v>0</v>
      </c>
      <c r="F169" s="92" t="n">
        <f aca="false">SRC_DC!$S53</f>
        <v>0</v>
      </c>
    </row>
    <row r="170" customFormat="false" ht="15" hidden="false" customHeight="false" outlineLevel="0" collapsed="false">
      <c r="A170" s="92" t="str">
        <f aca="false">SRC_DC!$A54&amp;""</f>
        <v/>
      </c>
      <c r="B170" s="61" t="s">
        <v>8475</v>
      </c>
      <c r="C170" s="60" t="n">
        <v>54</v>
      </c>
      <c r="D170" s="92" t="n">
        <f aca="false">SRC_DC!$O54</f>
        <v>0</v>
      </c>
      <c r="E170" s="92" t="n">
        <f aca="false">SRC_DC!$K54</f>
        <v>0</v>
      </c>
      <c r="F170" s="92" t="n">
        <f aca="false">SRC_DC!$S54</f>
        <v>0</v>
      </c>
    </row>
    <row r="171" customFormat="false" ht="15" hidden="false" customHeight="false" outlineLevel="0" collapsed="false">
      <c r="A171" s="92" t="str">
        <f aca="false">SRC_DC!$A55&amp;""</f>
        <v/>
      </c>
      <c r="B171" s="61" t="s">
        <v>8475</v>
      </c>
      <c r="C171" s="60" t="n">
        <v>55</v>
      </c>
      <c r="D171" s="92" t="n">
        <f aca="false">SRC_DC!$O55</f>
        <v>0</v>
      </c>
      <c r="E171" s="92" t="n">
        <f aca="false">SRC_DC!$K55</f>
        <v>0</v>
      </c>
      <c r="F171" s="92" t="n">
        <f aca="false">SRC_DC!$S55</f>
        <v>0</v>
      </c>
    </row>
    <row r="172" customFormat="false" ht="15" hidden="false" customHeight="false" outlineLevel="0" collapsed="false">
      <c r="A172" s="92" t="str">
        <f aca="false">SRC_DC!$A56&amp;""</f>
        <v/>
      </c>
      <c r="B172" s="61" t="s">
        <v>8475</v>
      </c>
      <c r="C172" s="60" t="n">
        <v>56</v>
      </c>
      <c r="D172" s="92" t="n">
        <f aca="false">SRC_DC!$O56</f>
        <v>0</v>
      </c>
      <c r="E172" s="92" t="n">
        <f aca="false">SRC_DC!$K56</f>
        <v>0</v>
      </c>
      <c r="F172" s="92" t="n">
        <f aca="false">SRC_DC!$S56</f>
        <v>0</v>
      </c>
    </row>
    <row r="173" customFormat="false" ht="15" hidden="false" customHeight="false" outlineLevel="0" collapsed="false">
      <c r="A173" s="92" t="str">
        <f aca="false">SRC_DC!$A57&amp;""</f>
        <v/>
      </c>
      <c r="B173" s="61" t="s">
        <v>8475</v>
      </c>
      <c r="C173" s="60" t="n">
        <v>57</v>
      </c>
      <c r="D173" s="92" t="n">
        <f aca="false">SRC_DC!$O57</f>
        <v>0</v>
      </c>
      <c r="E173" s="92" t="n">
        <f aca="false">SRC_DC!$K57</f>
        <v>0</v>
      </c>
      <c r="F173" s="92" t="n">
        <f aca="false">SRC_DC!$S57</f>
        <v>0</v>
      </c>
    </row>
    <row r="174" customFormat="false" ht="15" hidden="false" customHeight="false" outlineLevel="0" collapsed="false">
      <c r="A174" s="92" t="str">
        <f aca="false">SRC_DC!$A58&amp;""</f>
        <v/>
      </c>
      <c r="B174" s="61" t="s">
        <v>8475</v>
      </c>
      <c r="C174" s="60" t="n">
        <v>58</v>
      </c>
      <c r="D174" s="92" t="n">
        <f aca="false">SRC_DC!$O58</f>
        <v>0</v>
      </c>
      <c r="E174" s="92" t="n">
        <f aca="false">SRC_DC!$K58</f>
        <v>0</v>
      </c>
      <c r="F174" s="92" t="n">
        <f aca="false">SRC_DC!$S58</f>
        <v>0</v>
      </c>
    </row>
    <row r="175" customFormat="false" ht="15" hidden="false" customHeight="false" outlineLevel="0" collapsed="false">
      <c r="A175" s="92" t="str">
        <f aca="false">SRC_DC!$A59&amp;""</f>
        <v/>
      </c>
      <c r="B175" s="61" t="s">
        <v>8475</v>
      </c>
      <c r="C175" s="60" t="n">
        <v>59</v>
      </c>
      <c r="D175" s="92" t="n">
        <f aca="false">SRC_DC!$O59</f>
        <v>0</v>
      </c>
      <c r="E175" s="92" t="n">
        <f aca="false">SRC_DC!$K59</f>
        <v>0</v>
      </c>
      <c r="F175" s="92" t="n">
        <f aca="false">SRC_DC!$S59</f>
        <v>0</v>
      </c>
    </row>
    <row r="176" customFormat="false" ht="15" hidden="false" customHeight="false" outlineLevel="0" collapsed="false">
      <c r="A176" s="92" t="str">
        <f aca="false">SRC_DC!$A60&amp;""</f>
        <v/>
      </c>
      <c r="B176" s="61" t="s">
        <v>8475</v>
      </c>
      <c r="C176" s="60" t="n">
        <v>60</v>
      </c>
      <c r="D176" s="92" t="n">
        <f aca="false">SRC_DC!$O60</f>
        <v>0</v>
      </c>
      <c r="E176" s="92" t="n">
        <f aca="false">SRC_DC!$K60</f>
        <v>0</v>
      </c>
      <c r="F176" s="92" t="n">
        <f aca="false">SRC_DC!$S60</f>
        <v>0</v>
      </c>
    </row>
    <row r="177" customFormat="false" ht="15" hidden="false" customHeight="false" outlineLevel="0" collapsed="false">
      <c r="A177" s="92" t="str">
        <f aca="false">SRC_DC!$A61&amp;""</f>
        <v/>
      </c>
      <c r="B177" s="61" t="s">
        <v>8475</v>
      </c>
      <c r="C177" s="60" t="n">
        <v>61</v>
      </c>
      <c r="D177" s="92" t="n">
        <f aca="false">SRC_DC!$O61</f>
        <v>0</v>
      </c>
      <c r="E177" s="92" t="n">
        <f aca="false">SRC_DC!$K61</f>
        <v>0</v>
      </c>
      <c r="F177" s="92" t="n">
        <f aca="false">SRC_DC!$S61</f>
        <v>0</v>
      </c>
    </row>
    <row r="178" customFormat="false" ht="15" hidden="false" customHeight="false" outlineLevel="0" collapsed="false">
      <c r="A178" s="92" t="str">
        <f aca="false">SRC_DC!$A62&amp;""</f>
        <v/>
      </c>
      <c r="B178" s="61" t="s">
        <v>8475</v>
      </c>
      <c r="C178" s="60" t="n">
        <v>62</v>
      </c>
      <c r="D178" s="92" t="n">
        <f aca="false">SRC_DC!$O62</f>
        <v>0</v>
      </c>
      <c r="E178" s="92" t="n">
        <f aca="false">SRC_DC!$K62</f>
        <v>0</v>
      </c>
      <c r="F178" s="92" t="n">
        <f aca="false">SRC_DC!$S62</f>
        <v>0</v>
      </c>
    </row>
    <row r="179" customFormat="false" ht="15" hidden="false" customHeight="false" outlineLevel="0" collapsed="false">
      <c r="A179" s="92" t="str">
        <f aca="false">SRC_DC!$A63&amp;""</f>
        <v/>
      </c>
      <c r="B179" s="61" t="s">
        <v>8475</v>
      </c>
      <c r="C179" s="60" t="n">
        <v>63</v>
      </c>
      <c r="D179" s="92" t="n">
        <f aca="false">SRC_DC!$O63</f>
        <v>0</v>
      </c>
      <c r="E179" s="92" t="n">
        <f aca="false">SRC_DC!$K63</f>
        <v>0</v>
      </c>
      <c r="F179" s="92" t="n">
        <f aca="false">SRC_DC!$S63</f>
        <v>0</v>
      </c>
    </row>
    <row r="180" customFormat="false" ht="15" hidden="false" customHeight="false" outlineLevel="0" collapsed="false">
      <c r="A180" s="92" t="str">
        <f aca="false">SRC_DC!$A64&amp;""</f>
        <v/>
      </c>
      <c r="B180" s="61" t="s">
        <v>8475</v>
      </c>
      <c r="C180" s="60" t="n">
        <v>64</v>
      </c>
      <c r="D180" s="92" t="n">
        <f aca="false">SRC_DC!$O64</f>
        <v>0</v>
      </c>
      <c r="E180" s="92" t="n">
        <f aca="false">SRC_DC!$K64</f>
        <v>0</v>
      </c>
      <c r="F180" s="92" t="n">
        <f aca="false">SRC_DC!$S64</f>
        <v>0</v>
      </c>
    </row>
    <row r="181" customFormat="false" ht="15" hidden="false" customHeight="false" outlineLevel="0" collapsed="false">
      <c r="A181" s="92" t="str">
        <f aca="false">SRC_DC!$A65&amp;""</f>
        <v/>
      </c>
      <c r="B181" s="61" t="s">
        <v>8475</v>
      </c>
      <c r="C181" s="60" t="n">
        <v>65</v>
      </c>
      <c r="D181" s="92" t="n">
        <f aca="false">SRC_DC!$O65</f>
        <v>0</v>
      </c>
      <c r="E181" s="92" t="n">
        <f aca="false">SRC_DC!$K65</f>
        <v>0</v>
      </c>
      <c r="F181" s="92" t="n">
        <f aca="false">SRC_DC!$S65</f>
        <v>0</v>
      </c>
    </row>
    <row r="182" customFormat="false" ht="15" hidden="false" customHeight="false" outlineLevel="0" collapsed="false">
      <c r="A182" s="92" t="str">
        <f aca="false">SRC_DC!$A66&amp;""</f>
        <v/>
      </c>
      <c r="B182" s="61" t="s">
        <v>8475</v>
      </c>
      <c r="C182" s="60" t="n">
        <v>66</v>
      </c>
      <c r="D182" s="92" t="n">
        <f aca="false">SRC_DC!$O66</f>
        <v>0</v>
      </c>
      <c r="E182" s="92" t="n">
        <f aca="false">SRC_DC!$K66</f>
        <v>0</v>
      </c>
      <c r="F182" s="92" t="n">
        <f aca="false">SRC_DC!$S66</f>
        <v>0</v>
      </c>
    </row>
    <row r="183" customFormat="false" ht="15" hidden="false" customHeight="false" outlineLevel="0" collapsed="false">
      <c r="A183" s="92" t="str">
        <f aca="false">SRC_DC!$A67&amp;""</f>
        <v/>
      </c>
      <c r="B183" s="61" t="s">
        <v>8475</v>
      </c>
      <c r="C183" s="60" t="n">
        <v>67</v>
      </c>
      <c r="D183" s="92" t="n">
        <f aca="false">SRC_DC!$O67</f>
        <v>0</v>
      </c>
      <c r="E183" s="92" t="n">
        <f aca="false">SRC_DC!$K67</f>
        <v>0</v>
      </c>
      <c r="F183" s="92" t="n">
        <f aca="false">SRC_DC!$S67</f>
        <v>0</v>
      </c>
    </row>
    <row r="184" customFormat="false" ht="15" hidden="false" customHeight="false" outlineLevel="0" collapsed="false">
      <c r="A184" s="92" t="str">
        <f aca="false">SRC_DC!$A68&amp;""</f>
        <v/>
      </c>
      <c r="B184" s="61" t="s">
        <v>8475</v>
      </c>
      <c r="C184" s="60" t="n">
        <v>68</v>
      </c>
      <c r="D184" s="92" t="n">
        <f aca="false">SRC_DC!$O68</f>
        <v>0</v>
      </c>
      <c r="E184" s="92" t="n">
        <f aca="false">SRC_DC!$K68</f>
        <v>0</v>
      </c>
      <c r="F184" s="92" t="n">
        <f aca="false">SRC_DC!$S68</f>
        <v>0</v>
      </c>
    </row>
    <row r="185" customFormat="false" ht="15" hidden="false" customHeight="false" outlineLevel="0" collapsed="false">
      <c r="A185" s="92" t="str">
        <f aca="false">SRC_DC!$A69&amp;""</f>
        <v/>
      </c>
      <c r="B185" s="61" t="s">
        <v>8475</v>
      </c>
      <c r="C185" s="60" t="n">
        <v>69</v>
      </c>
      <c r="D185" s="92" t="n">
        <f aca="false">SRC_DC!$O69</f>
        <v>0</v>
      </c>
      <c r="E185" s="92" t="n">
        <f aca="false">SRC_DC!$K69</f>
        <v>0</v>
      </c>
      <c r="F185" s="92" t="n">
        <f aca="false">SRC_DC!$S69</f>
        <v>0</v>
      </c>
    </row>
    <row r="186" customFormat="false" ht="15" hidden="false" customHeight="false" outlineLevel="0" collapsed="false">
      <c r="A186" s="92" t="str">
        <f aca="false">SRC_DC!$A70&amp;""</f>
        <v/>
      </c>
      <c r="B186" s="61" t="s">
        <v>8475</v>
      </c>
      <c r="C186" s="60" t="n">
        <v>70</v>
      </c>
      <c r="D186" s="92" t="n">
        <f aca="false">SRC_DC!$O70</f>
        <v>0</v>
      </c>
      <c r="E186" s="92" t="n">
        <f aca="false">SRC_DC!$K70</f>
        <v>0</v>
      </c>
      <c r="F186" s="92" t="n">
        <f aca="false">SRC_DC!$S70</f>
        <v>0</v>
      </c>
    </row>
    <row r="187" customFormat="false" ht="15" hidden="false" customHeight="false" outlineLevel="0" collapsed="false">
      <c r="A187" s="92" t="str">
        <f aca="false">SRC_DC!$A71&amp;""</f>
        <v/>
      </c>
      <c r="B187" s="61" t="s">
        <v>8475</v>
      </c>
      <c r="C187" s="60" t="n">
        <v>71</v>
      </c>
      <c r="D187" s="92" t="n">
        <f aca="false">SRC_DC!$O71</f>
        <v>0</v>
      </c>
      <c r="E187" s="92" t="n">
        <f aca="false">SRC_DC!$K71</f>
        <v>0</v>
      </c>
      <c r="F187" s="92" t="n">
        <f aca="false">SRC_DC!$S71</f>
        <v>0</v>
      </c>
    </row>
    <row r="188" customFormat="false" ht="15" hidden="false" customHeight="false" outlineLevel="0" collapsed="false">
      <c r="A188" s="92" t="str">
        <f aca="false">SRC_Model!$A5&amp;""</f>
        <v>SRC_MOD_001</v>
      </c>
      <c r="B188" s="61" t="s">
        <v>8476</v>
      </c>
      <c r="C188" s="60" t="n">
        <v>5</v>
      </c>
      <c r="D188" s="92" t="str">
        <f aca="false">SRC_Model!$O5</f>
        <v>Active</v>
      </c>
      <c r="E188" s="92" t="n">
        <f aca="false">SRC_Model!$K5</f>
        <v>3</v>
      </c>
      <c r="F188" s="92" t="str">
        <f aca="false">SRC_Model!$S5</f>
        <v>—</v>
      </c>
    </row>
    <row r="189" customFormat="false" ht="15" hidden="false" customHeight="false" outlineLevel="0" collapsed="false">
      <c r="A189" s="92" t="str">
        <f aca="false">SRC_Model!$A6&amp;""</f>
        <v>SRC_MOD_002</v>
      </c>
      <c r="B189" s="61" t="s">
        <v>8476</v>
      </c>
      <c r="C189" s="60" t="n">
        <v>6</v>
      </c>
      <c r="D189" s="92" t="str">
        <f aca="false">SRC_Model!$O6</f>
        <v>Active</v>
      </c>
      <c r="E189" s="92" t="n">
        <f aca="false">SRC_Model!$K6</f>
        <v>1</v>
      </c>
      <c r="F189" s="92" t="str">
        <f aca="false">SRC_Model!$S6</f>
        <v>2026-10-05</v>
      </c>
    </row>
    <row r="190" customFormat="false" ht="15" hidden="false" customHeight="false" outlineLevel="0" collapsed="false">
      <c r="A190" s="92" t="str">
        <f aca="false">SRC_Model!$A7&amp;""</f>
        <v>SRC_MOD_003</v>
      </c>
      <c r="B190" s="61" t="s">
        <v>8476</v>
      </c>
      <c r="C190" s="60" t="n">
        <v>7</v>
      </c>
      <c r="D190" s="92" t="str">
        <f aca="false">SRC_Model!$O7</f>
        <v>Active</v>
      </c>
      <c r="E190" s="92" t="n">
        <f aca="false">SRC_Model!$K7</f>
        <v>3</v>
      </c>
      <c r="F190" s="92" t="str">
        <f aca="false">SRC_Model!$S7</f>
        <v>—</v>
      </c>
    </row>
    <row r="191" customFormat="false" ht="15" hidden="false" customHeight="false" outlineLevel="0" collapsed="false">
      <c r="A191" s="92" t="str">
        <f aca="false">SRC_Model!$A8&amp;""</f>
        <v>SRC_MOD_004</v>
      </c>
      <c r="B191" s="61" t="s">
        <v>8476</v>
      </c>
      <c r="C191" s="60" t="n">
        <v>8</v>
      </c>
      <c r="D191" s="92" t="str">
        <f aca="false">SRC_Model!$O8</f>
        <v>Active</v>
      </c>
      <c r="E191" s="92" t="n">
        <f aca="false">SRC_Model!$K8</f>
        <v>3</v>
      </c>
      <c r="F191" s="92" t="str">
        <f aca="false">SRC_Model!$S8</f>
        <v>—</v>
      </c>
    </row>
    <row r="192" customFormat="false" ht="15" hidden="false" customHeight="false" outlineLevel="0" collapsed="false">
      <c r="A192" s="92" t="str">
        <f aca="false">SRC_Model!$A9&amp;""</f>
        <v>SRC_MOD_005</v>
      </c>
      <c r="B192" s="61" t="s">
        <v>8476</v>
      </c>
      <c r="C192" s="60" t="n">
        <v>9</v>
      </c>
      <c r="D192" s="92" t="str">
        <f aca="false">SRC_Model!$O9</f>
        <v>Active</v>
      </c>
      <c r="E192" s="92" t="n">
        <f aca="false">SRC_Model!$K9</f>
        <v>3</v>
      </c>
      <c r="F192" s="92" t="str">
        <f aca="false">SRC_Model!$S9</f>
        <v>—</v>
      </c>
    </row>
    <row r="193" customFormat="false" ht="15" hidden="false" customHeight="false" outlineLevel="0" collapsed="false">
      <c r="A193" s="92" t="str">
        <f aca="false">SRC_Model!$A10&amp;""</f>
        <v>SRC_MOD_006</v>
      </c>
      <c r="B193" s="61" t="s">
        <v>8476</v>
      </c>
      <c r="C193" s="60" t="n">
        <v>10</v>
      </c>
      <c r="D193" s="92" t="str">
        <f aca="false">SRC_Model!$O10</f>
        <v>Active</v>
      </c>
      <c r="E193" s="92" t="n">
        <f aca="false">SRC_Model!$K10</f>
        <v>1</v>
      </c>
      <c r="F193" s="92" t="str">
        <f aca="false">SRC_Model!$S10</f>
        <v>2026-10-05</v>
      </c>
    </row>
    <row r="194" customFormat="false" ht="15" hidden="false" customHeight="false" outlineLevel="0" collapsed="false">
      <c r="A194" s="92" t="str">
        <f aca="false">SRC_Model!$A11&amp;""</f>
        <v>SRC_MOD_007</v>
      </c>
      <c r="B194" s="61" t="s">
        <v>8476</v>
      </c>
      <c r="C194" s="60" t="n">
        <v>11</v>
      </c>
      <c r="D194" s="92" t="str">
        <f aca="false">SRC_Model!$O11</f>
        <v>Active</v>
      </c>
      <c r="E194" s="92" t="n">
        <f aca="false">SRC_Model!$K11</f>
        <v>1</v>
      </c>
      <c r="F194" s="92" t="str">
        <f aca="false">SRC_Model!$S11</f>
        <v>2026-10-05</v>
      </c>
    </row>
    <row r="195" customFormat="false" ht="15" hidden="false" customHeight="false" outlineLevel="0" collapsed="false">
      <c r="A195" s="92" t="str">
        <f aca="false">SRC_Model!$A12&amp;""</f>
        <v>SRC_MOD_008</v>
      </c>
      <c r="B195" s="61" t="s">
        <v>8476</v>
      </c>
      <c r="C195" s="60" t="n">
        <v>12</v>
      </c>
      <c r="D195" s="92" t="str">
        <f aca="false">SRC_Model!$O12</f>
        <v>Active</v>
      </c>
      <c r="E195" s="92" t="n">
        <f aca="false">SRC_Model!$K12</f>
        <v>3</v>
      </c>
      <c r="F195" s="92" t="str">
        <f aca="false">SRC_Model!$S12</f>
        <v>—</v>
      </c>
    </row>
    <row r="196" customFormat="false" ht="15" hidden="false" customHeight="false" outlineLevel="0" collapsed="false">
      <c r="A196" s="92" t="str">
        <f aca="false">SRC_Model!$A13&amp;""</f>
        <v>SRC_MOD_009</v>
      </c>
      <c r="B196" s="61" t="s">
        <v>8476</v>
      </c>
      <c r="C196" s="60" t="n">
        <v>13</v>
      </c>
      <c r="D196" s="92" t="str">
        <f aca="false">SRC_Model!$O13</f>
        <v>Active</v>
      </c>
      <c r="E196" s="92" t="n">
        <f aca="false">SRC_Model!$K13</f>
        <v>1</v>
      </c>
      <c r="F196" s="92" t="str">
        <f aca="false">SRC_Model!$S13</f>
        <v>2026-10-05</v>
      </c>
    </row>
    <row r="197" customFormat="false" ht="15" hidden="false" customHeight="false" outlineLevel="0" collapsed="false">
      <c r="A197" s="92" t="str">
        <f aca="false">SRC_Model!$A14&amp;""</f>
        <v>SRC_MOD_010</v>
      </c>
      <c r="B197" s="61" t="s">
        <v>8476</v>
      </c>
      <c r="C197" s="60" t="n">
        <v>14</v>
      </c>
      <c r="D197" s="92" t="str">
        <f aca="false">SRC_Model!$O14</f>
        <v>Active</v>
      </c>
      <c r="E197" s="92" t="n">
        <f aca="false">SRC_Model!$K14</f>
        <v>1</v>
      </c>
      <c r="F197" s="92" t="str">
        <f aca="false">SRC_Model!$S14</f>
        <v>2026-10-05</v>
      </c>
    </row>
    <row r="198" customFormat="false" ht="15" hidden="false" customHeight="false" outlineLevel="0" collapsed="false">
      <c r="A198" s="92" t="str">
        <f aca="false">SRC_Model!$A15&amp;""</f>
        <v>SRC_MOD_011</v>
      </c>
      <c r="B198" s="61" t="s">
        <v>8476</v>
      </c>
      <c r="C198" s="60" t="n">
        <v>15</v>
      </c>
      <c r="D198" s="92" t="str">
        <f aca="false">SRC_Model!$O15</f>
        <v>Active</v>
      </c>
      <c r="E198" s="92" t="n">
        <f aca="false">SRC_Model!$K15</f>
        <v>1</v>
      </c>
      <c r="F198" s="92" t="str">
        <f aca="false">SRC_Model!$S15</f>
        <v>2026-10-05</v>
      </c>
    </row>
    <row r="199" customFormat="false" ht="15" hidden="false" customHeight="false" outlineLevel="0" collapsed="false">
      <c r="A199" s="92" t="str">
        <f aca="false">SRC_Model!$A16&amp;""</f>
        <v>SRC_MOD_012</v>
      </c>
      <c r="B199" s="61" t="s">
        <v>8476</v>
      </c>
      <c r="C199" s="60" t="n">
        <v>16</v>
      </c>
      <c r="D199" s="92" t="str">
        <f aca="false">SRC_Model!$O16</f>
        <v>Active</v>
      </c>
      <c r="E199" s="92" t="n">
        <f aca="false">SRC_Model!$K16</f>
        <v>1</v>
      </c>
      <c r="F199" s="92" t="str">
        <f aca="false">SRC_Model!$S16</f>
        <v>2026-10-05</v>
      </c>
    </row>
    <row r="200" customFormat="false" ht="15" hidden="false" customHeight="false" outlineLevel="0" collapsed="false">
      <c r="A200" s="92" t="str">
        <f aca="false">SRC_Model!$A17&amp;""</f>
        <v>SRC_MOD_013</v>
      </c>
      <c r="B200" s="61" t="s">
        <v>8476</v>
      </c>
      <c r="C200" s="60" t="n">
        <v>17</v>
      </c>
      <c r="D200" s="92" t="str">
        <f aca="false">SRC_Model!$O17</f>
        <v>Active</v>
      </c>
      <c r="E200" s="92" t="n">
        <f aca="false">SRC_Model!$K17</f>
        <v>1</v>
      </c>
      <c r="F200" s="92" t="str">
        <f aca="false">SRC_Model!$S17</f>
        <v>2026-10-05</v>
      </c>
    </row>
    <row r="201" customFormat="false" ht="15" hidden="false" customHeight="false" outlineLevel="0" collapsed="false">
      <c r="A201" s="92" t="str">
        <f aca="false">SRC_Model!$A18&amp;""</f>
        <v>SRC_MOD_014</v>
      </c>
      <c r="B201" s="61" t="s">
        <v>8476</v>
      </c>
      <c r="C201" s="60" t="n">
        <v>18</v>
      </c>
      <c r="D201" s="92" t="str">
        <f aca="false">SRC_Model!$O18</f>
        <v>Active</v>
      </c>
      <c r="E201" s="92" t="n">
        <f aca="false">SRC_Model!$K18</f>
        <v>1</v>
      </c>
      <c r="F201" s="92" t="str">
        <f aca="false">SRC_Model!$S18</f>
        <v>2026-10-05</v>
      </c>
    </row>
    <row r="202" customFormat="false" ht="15" hidden="false" customHeight="false" outlineLevel="0" collapsed="false">
      <c r="A202" s="92" t="str">
        <f aca="false">SRC_Model!$A19&amp;""</f>
        <v>SRC_MOD_015</v>
      </c>
      <c r="B202" s="61" t="s">
        <v>8476</v>
      </c>
      <c r="C202" s="60" t="n">
        <v>19</v>
      </c>
      <c r="D202" s="92" t="str">
        <f aca="false">SRC_Model!$O19</f>
        <v>Active</v>
      </c>
      <c r="E202" s="92" t="n">
        <f aca="false">SRC_Model!$K19</f>
        <v>1</v>
      </c>
      <c r="F202" s="92" t="str">
        <f aca="false">SRC_Model!$S19</f>
        <v>2026-10-05</v>
      </c>
    </row>
    <row r="203" customFormat="false" ht="15" hidden="false" customHeight="false" outlineLevel="0" collapsed="false">
      <c r="A203" s="92" t="str">
        <f aca="false">SRC_Model!$A20&amp;""</f>
        <v>SRC_MOD_016</v>
      </c>
      <c r="B203" s="61" t="s">
        <v>8476</v>
      </c>
      <c r="C203" s="60" t="n">
        <v>20</v>
      </c>
      <c r="D203" s="92" t="str">
        <f aca="false">SRC_Model!$O20</f>
        <v>Active</v>
      </c>
      <c r="E203" s="92" t="n">
        <f aca="false">SRC_Model!$K20</f>
        <v>1</v>
      </c>
      <c r="F203" s="92" t="str">
        <f aca="false">SRC_Model!$S20</f>
        <v>2026-10-05</v>
      </c>
    </row>
    <row r="204" customFormat="false" ht="15" hidden="false" customHeight="false" outlineLevel="0" collapsed="false">
      <c r="A204" s="92" t="str">
        <f aca="false">SRC_Model!$A21&amp;""</f>
        <v>SRC_MOD_017</v>
      </c>
      <c r="B204" s="61" t="s">
        <v>8476</v>
      </c>
      <c r="C204" s="60" t="n">
        <v>21</v>
      </c>
      <c r="D204" s="92" t="str">
        <f aca="false">SRC_Model!$O21</f>
        <v>Active</v>
      </c>
      <c r="E204" s="92" t="n">
        <f aca="false">SRC_Model!$K21</f>
        <v>1</v>
      </c>
      <c r="F204" s="92" t="str">
        <f aca="false">SRC_Model!$S21</f>
        <v>2026-10-05</v>
      </c>
    </row>
    <row r="205" customFormat="false" ht="15" hidden="false" customHeight="false" outlineLevel="0" collapsed="false">
      <c r="A205" s="92" t="str">
        <f aca="false">SRC_Model!$A22&amp;""</f>
        <v>SRC_MOD_018</v>
      </c>
      <c r="B205" s="61" t="s">
        <v>8476</v>
      </c>
      <c r="C205" s="60" t="n">
        <v>22</v>
      </c>
      <c r="D205" s="92" t="str">
        <f aca="false">SRC_Model!$O22</f>
        <v>Active</v>
      </c>
      <c r="E205" s="92" t="n">
        <f aca="false">SRC_Model!$K22</f>
        <v>3</v>
      </c>
      <c r="F205" s="92" t="str">
        <f aca="false">SRC_Model!$S22</f>
        <v>—</v>
      </c>
    </row>
    <row r="206" customFormat="false" ht="15" hidden="false" customHeight="false" outlineLevel="0" collapsed="false">
      <c r="A206" s="92" t="str">
        <f aca="false">SRC_Model!$A23&amp;""</f>
        <v>SRC_MOD_019</v>
      </c>
      <c r="B206" s="61" t="s">
        <v>8476</v>
      </c>
      <c r="C206" s="60" t="n">
        <v>23</v>
      </c>
      <c r="D206" s="92" t="str">
        <f aca="false">SRC_Model!$O23</f>
        <v>Active</v>
      </c>
      <c r="E206" s="92" t="n">
        <f aca="false">SRC_Model!$K23</f>
        <v>3</v>
      </c>
      <c r="F206" s="92" t="str">
        <f aca="false">SRC_Model!$S23</f>
        <v>—</v>
      </c>
    </row>
    <row r="207" customFormat="false" ht="15" hidden="false" customHeight="false" outlineLevel="0" collapsed="false">
      <c r="A207" s="92" t="str">
        <f aca="false">SRC_Model!$A24&amp;""</f>
        <v>SRC_MOD_020</v>
      </c>
      <c r="B207" s="61" t="s">
        <v>8476</v>
      </c>
      <c r="C207" s="60" t="n">
        <v>24</v>
      </c>
      <c r="D207" s="92" t="str">
        <f aca="false">SRC_Model!$O24</f>
        <v>Active</v>
      </c>
      <c r="E207" s="92" t="n">
        <f aca="false">SRC_Model!$K24</f>
        <v>3</v>
      </c>
      <c r="F207" s="92" t="str">
        <f aca="false">SRC_Model!$S24</f>
        <v>—</v>
      </c>
    </row>
    <row r="208" customFormat="false" ht="15" hidden="false" customHeight="false" outlineLevel="0" collapsed="false">
      <c r="A208" s="92" t="str">
        <f aca="false">SRC_Model!$A25&amp;""</f>
        <v>SRC_MOD_021</v>
      </c>
      <c r="B208" s="61" t="s">
        <v>8476</v>
      </c>
      <c r="C208" s="60" t="n">
        <v>25</v>
      </c>
      <c r="D208" s="92" t="str">
        <f aca="false">SRC_Model!$O25</f>
        <v>Active</v>
      </c>
      <c r="E208" s="92" t="n">
        <f aca="false">SRC_Model!$K25</f>
        <v>3</v>
      </c>
      <c r="F208" s="92" t="str">
        <f aca="false">SRC_Model!$S25</f>
        <v>—</v>
      </c>
    </row>
    <row r="209" customFormat="false" ht="15" hidden="false" customHeight="false" outlineLevel="0" collapsed="false">
      <c r="A209" s="92" t="str">
        <f aca="false">SRC_Model!$A26&amp;""</f>
        <v>SRC_MOD_022</v>
      </c>
      <c r="B209" s="61" t="s">
        <v>8476</v>
      </c>
      <c r="C209" s="60" t="n">
        <v>26</v>
      </c>
      <c r="D209" s="92" t="str">
        <f aca="false">SRC_Model!$O26</f>
        <v>Active</v>
      </c>
      <c r="E209" s="92" t="n">
        <f aca="false">SRC_Model!$K26</f>
        <v>3</v>
      </c>
      <c r="F209" s="92" t="str">
        <f aca="false">SRC_Model!$S26</f>
        <v>—</v>
      </c>
    </row>
    <row r="210" customFormat="false" ht="15" hidden="false" customHeight="false" outlineLevel="0" collapsed="false">
      <c r="A210" s="92" t="str">
        <f aca="false">SRC_Model!$A27&amp;""</f>
        <v>SRC_MOD_023</v>
      </c>
      <c r="B210" s="61" t="s">
        <v>8476</v>
      </c>
      <c r="C210" s="60" t="n">
        <v>27</v>
      </c>
      <c r="D210" s="92" t="str">
        <f aca="false">SRC_Model!$O27</f>
        <v>Active</v>
      </c>
      <c r="E210" s="92" t="n">
        <f aca="false">SRC_Model!$K27</f>
        <v>3</v>
      </c>
      <c r="F210" s="92" t="str">
        <f aca="false">SRC_Model!$S27</f>
        <v>—</v>
      </c>
    </row>
    <row r="211" customFormat="false" ht="15" hidden="false" customHeight="false" outlineLevel="0" collapsed="false">
      <c r="A211" s="92" t="str">
        <f aca="false">SRC_Model!$A28&amp;""</f>
        <v>SRC_MOD_024</v>
      </c>
      <c r="B211" s="61" t="s">
        <v>8476</v>
      </c>
      <c r="C211" s="60" t="n">
        <v>28</v>
      </c>
      <c r="D211" s="92" t="str">
        <f aca="false">SRC_Model!$O28</f>
        <v>Active</v>
      </c>
      <c r="E211" s="92" t="n">
        <f aca="false">SRC_Model!$K28</f>
        <v>3</v>
      </c>
      <c r="F211" s="92" t="str">
        <f aca="false">SRC_Model!$S28</f>
        <v>—</v>
      </c>
    </row>
    <row r="212" customFormat="false" ht="15" hidden="false" customHeight="false" outlineLevel="0" collapsed="false">
      <c r="A212" s="92" t="str">
        <f aca="false">SRC_Model!$A29&amp;""</f>
        <v>SRC_MOD_025</v>
      </c>
      <c r="B212" s="61" t="s">
        <v>8476</v>
      </c>
      <c r="C212" s="60" t="n">
        <v>29</v>
      </c>
      <c r="D212" s="92" t="str">
        <f aca="false">SRC_Model!$O29</f>
        <v>Active</v>
      </c>
      <c r="E212" s="92" t="n">
        <f aca="false">SRC_Model!$K29</f>
        <v>3</v>
      </c>
      <c r="F212" s="92" t="str">
        <f aca="false">SRC_Model!$S29</f>
        <v>—</v>
      </c>
    </row>
    <row r="213" customFormat="false" ht="15" hidden="false" customHeight="false" outlineLevel="0" collapsed="false">
      <c r="A213" s="92" t="str">
        <f aca="false">SRC_Model!$A30&amp;""</f>
        <v>SRC_MOD_026</v>
      </c>
      <c r="B213" s="61" t="s">
        <v>8476</v>
      </c>
      <c r="C213" s="60" t="n">
        <v>30</v>
      </c>
      <c r="D213" s="92" t="str">
        <f aca="false">SRC_Model!$O30</f>
        <v>Active</v>
      </c>
      <c r="E213" s="92" t="n">
        <f aca="false">SRC_Model!$K30</f>
        <v>3</v>
      </c>
      <c r="F213" s="92" t="str">
        <f aca="false">SRC_Model!$S30</f>
        <v>—</v>
      </c>
    </row>
    <row r="214" customFormat="false" ht="15" hidden="false" customHeight="false" outlineLevel="0" collapsed="false">
      <c r="A214" s="92" t="str">
        <f aca="false">SRC_Model!$A31&amp;""</f>
        <v>SRC_MOD_027</v>
      </c>
      <c r="B214" s="61" t="s">
        <v>8476</v>
      </c>
      <c r="C214" s="60" t="n">
        <v>31</v>
      </c>
      <c r="D214" s="92" t="str">
        <f aca="false">SRC_Model!$O31</f>
        <v>Active</v>
      </c>
      <c r="E214" s="92" t="n">
        <f aca="false">SRC_Model!$K31</f>
        <v>3</v>
      </c>
      <c r="F214" s="92" t="str">
        <f aca="false">SRC_Model!$S31</f>
        <v>—</v>
      </c>
    </row>
    <row r="215" customFormat="false" ht="15" hidden="false" customHeight="false" outlineLevel="0" collapsed="false">
      <c r="A215" s="92" t="str">
        <f aca="false">SRC_Model!$A32&amp;""</f>
        <v>SRC_MOD_028</v>
      </c>
      <c r="B215" s="61" t="s">
        <v>8476</v>
      </c>
      <c r="C215" s="60" t="n">
        <v>32</v>
      </c>
      <c r="D215" s="92" t="str">
        <f aca="false">SRC_Model!$O32</f>
        <v>Active</v>
      </c>
      <c r="E215" s="92" t="n">
        <f aca="false">SRC_Model!$K32</f>
        <v>3</v>
      </c>
      <c r="F215" s="92" t="str">
        <f aca="false">SRC_Model!$S32</f>
        <v>—</v>
      </c>
    </row>
    <row r="216" customFormat="false" ht="15" hidden="false" customHeight="false" outlineLevel="0" collapsed="false">
      <c r="A216" s="92" t="str">
        <f aca="false">SRC_Model!$A33&amp;""</f>
        <v>SRC_MOD_029</v>
      </c>
      <c r="B216" s="61" t="s">
        <v>8476</v>
      </c>
      <c r="C216" s="60" t="n">
        <v>33</v>
      </c>
      <c r="D216" s="92" t="str">
        <f aca="false">SRC_Model!$O33</f>
        <v>Active</v>
      </c>
      <c r="E216" s="92" t="n">
        <f aca="false">SRC_Model!$K33</f>
        <v>1</v>
      </c>
      <c r="F216" s="92" t="str">
        <f aca="false">SRC_Model!$S33</f>
        <v>—</v>
      </c>
    </row>
    <row r="217" customFormat="false" ht="15" hidden="false" customHeight="false" outlineLevel="0" collapsed="false">
      <c r="A217" s="92" t="str">
        <f aca="false">SRC_Model!$A34&amp;""</f>
        <v>SRC_MOD_030</v>
      </c>
      <c r="B217" s="61" t="s">
        <v>8476</v>
      </c>
      <c r="C217" s="60" t="n">
        <v>34</v>
      </c>
      <c r="D217" s="92" t="str">
        <f aca="false">SRC_Model!$O34</f>
        <v>Active</v>
      </c>
      <c r="E217" s="92" t="n">
        <f aca="false">SRC_Model!$K34</f>
        <v>1</v>
      </c>
      <c r="F217" s="92" t="str">
        <f aca="false">SRC_Model!$S34</f>
        <v>—</v>
      </c>
    </row>
    <row r="218" customFormat="false" ht="15" hidden="false" customHeight="false" outlineLevel="0" collapsed="false">
      <c r="A218" s="92" t="str">
        <f aca="false">SRC_Model!$A35&amp;""</f>
        <v>SRC_MOD_031</v>
      </c>
      <c r="B218" s="61" t="s">
        <v>8476</v>
      </c>
      <c r="C218" s="60" t="n">
        <v>35</v>
      </c>
      <c r="D218" s="92" t="str">
        <f aca="false">SRC_Model!$O35</f>
        <v>Active</v>
      </c>
      <c r="E218" s="92" t="n">
        <f aca="false">SRC_Model!$K35</f>
        <v>1</v>
      </c>
      <c r="F218" s="92" t="str">
        <f aca="false">SRC_Model!$S35</f>
        <v>—</v>
      </c>
    </row>
    <row r="219" customFormat="false" ht="15" hidden="false" customHeight="false" outlineLevel="0" collapsed="false">
      <c r="A219" s="92" t="str">
        <f aca="false">SRC_Model!$A36&amp;""</f>
        <v>SRC_MOD_032</v>
      </c>
      <c r="B219" s="61" t="s">
        <v>8476</v>
      </c>
      <c r="C219" s="60" t="n">
        <v>36</v>
      </c>
      <c r="D219" s="92" t="str">
        <f aca="false">SRC_Model!$O36</f>
        <v>Active</v>
      </c>
      <c r="E219" s="92" t="n">
        <f aca="false">SRC_Model!$K36</f>
        <v>1</v>
      </c>
      <c r="F219" s="92" t="str">
        <f aca="false">SRC_Model!$S36</f>
        <v>—</v>
      </c>
    </row>
    <row r="220" customFormat="false" ht="15" hidden="false" customHeight="false" outlineLevel="0" collapsed="false">
      <c r="A220" s="92" t="str">
        <f aca="false">SRC_Model!$A37&amp;""</f>
        <v>SRC_MOD_033</v>
      </c>
      <c r="B220" s="61" t="s">
        <v>8476</v>
      </c>
      <c r="C220" s="60" t="n">
        <v>37</v>
      </c>
      <c r="D220" s="92" t="str">
        <f aca="false">SRC_Model!$O37</f>
        <v>Active</v>
      </c>
      <c r="E220" s="92" t="n">
        <f aca="false">SRC_Model!$K37</f>
        <v>1</v>
      </c>
      <c r="F220" s="92" t="str">
        <f aca="false">SRC_Model!$S37</f>
        <v>—</v>
      </c>
    </row>
    <row r="221" customFormat="false" ht="15" hidden="false" customHeight="false" outlineLevel="0" collapsed="false">
      <c r="A221" s="92" t="str">
        <f aca="false">SRC_Model!$A38&amp;""</f>
        <v>SRC_MOD_034</v>
      </c>
      <c r="B221" s="61" t="s">
        <v>8476</v>
      </c>
      <c r="C221" s="60" t="n">
        <v>38</v>
      </c>
      <c r="D221" s="92" t="str">
        <f aca="false">SRC_Model!$O38</f>
        <v>Active</v>
      </c>
      <c r="E221" s="92" t="n">
        <f aca="false">SRC_Model!$K38</f>
        <v>2</v>
      </c>
      <c r="F221" s="92" t="str">
        <f aca="false">SRC_Model!$S38</f>
        <v>—</v>
      </c>
    </row>
    <row r="222" customFormat="false" ht="15" hidden="false" customHeight="false" outlineLevel="0" collapsed="false">
      <c r="A222" s="92" t="str">
        <f aca="false">SRC_Model!$A39&amp;""</f>
        <v>SRC_MOD_035</v>
      </c>
      <c r="B222" s="61" t="s">
        <v>8476</v>
      </c>
      <c r="C222" s="60" t="n">
        <v>39</v>
      </c>
      <c r="D222" s="92" t="str">
        <f aca="false">SRC_Model!$O39</f>
        <v>Active</v>
      </c>
      <c r="E222" s="92" t="n">
        <f aca="false">SRC_Model!$K39</f>
        <v>2</v>
      </c>
      <c r="F222" s="92" t="str">
        <f aca="false">SRC_Model!$S39</f>
        <v>—</v>
      </c>
    </row>
    <row r="223" customFormat="false" ht="15" hidden="false" customHeight="false" outlineLevel="0" collapsed="false">
      <c r="A223" s="92" t="str">
        <f aca="false">SRC_Model!$A40&amp;""</f>
        <v>SRC_MOD_036</v>
      </c>
      <c r="B223" s="61" t="s">
        <v>8476</v>
      </c>
      <c r="C223" s="60" t="n">
        <v>40</v>
      </c>
      <c r="D223" s="92" t="str">
        <f aca="false">SRC_Model!$O40</f>
        <v>Active</v>
      </c>
      <c r="E223" s="92" t="n">
        <f aca="false">SRC_Model!$K40</f>
        <v>1</v>
      </c>
      <c r="F223" s="92" t="str">
        <f aca="false">SRC_Model!$S40</f>
        <v>—</v>
      </c>
    </row>
    <row r="224" customFormat="false" ht="15" hidden="false" customHeight="false" outlineLevel="0" collapsed="false">
      <c r="A224" s="92" t="str">
        <f aca="false">SRC_Model!$A41&amp;""</f>
        <v>SRC_MOD_037</v>
      </c>
      <c r="B224" s="61" t="s">
        <v>8476</v>
      </c>
      <c r="C224" s="60" t="n">
        <v>41</v>
      </c>
      <c r="D224" s="92" t="str">
        <f aca="false">SRC_Model!$O41</f>
        <v>Active</v>
      </c>
      <c r="E224" s="92" t="n">
        <f aca="false">SRC_Model!$K41</f>
        <v>1</v>
      </c>
      <c r="F224" s="92" t="str">
        <f aca="false">SRC_Model!$S41</f>
        <v>—</v>
      </c>
    </row>
    <row r="225" customFormat="false" ht="15" hidden="false" customHeight="false" outlineLevel="0" collapsed="false">
      <c r="A225" s="92" t="str">
        <f aca="false">SRC_Model!$A42&amp;""</f>
        <v>SRC_MOD_038</v>
      </c>
      <c r="B225" s="61" t="s">
        <v>8476</v>
      </c>
      <c r="C225" s="60" t="n">
        <v>42</v>
      </c>
      <c r="D225" s="92" t="str">
        <f aca="false">SRC_Model!$O42</f>
        <v>Active</v>
      </c>
      <c r="E225" s="92" t="n">
        <f aca="false">SRC_Model!$K42</f>
        <v>1</v>
      </c>
      <c r="F225" s="92" t="str">
        <f aca="false">SRC_Model!$S42</f>
        <v>—</v>
      </c>
    </row>
    <row r="226" customFormat="false" ht="15" hidden="false" customHeight="false" outlineLevel="0" collapsed="false">
      <c r="A226" s="92" t="str">
        <f aca="false">SRC_Model!$A43&amp;""</f>
        <v>SRC_MOD_039</v>
      </c>
      <c r="B226" s="61" t="s">
        <v>8476</v>
      </c>
      <c r="C226" s="60" t="n">
        <v>43</v>
      </c>
      <c r="D226" s="92" t="str">
        <f aca="false">SRC_Model!$O43</f>
        <v>Active</v>
      </c>
      <c r="E226" s="92" t="n">
        <f aca="false">SRC_Model!$K43</f>
        <v>3</v>
      </c>
      <c r="F226" s="92" t="str">
        <f aca="false">SRC_Model!$S43</f>
        <v>—</v>
      </c>
    </row>
    <row r="227" customFormat="false" ht="15" hidden="false" customHeight="false" outlineLevel="0" collapsed="false">
      <c r="A227" s="92" t="str">
        <f aca="false">SRC_Model!$A44&amp;""</f>
        <v>SRC_MOD_040</v>
      </c>
      <c r="B227" s="61" t="s">
        <v>8476</v>
      </c>
      <c r="C227" s="60" t="n">
        <v>44</v>
      </c>
      <c r="D227" s="92" t="str">
        <f aca="false">SRC_Model!$O44</f>
        <v>Active</v>
      </c>
      <c r="E227" s="92" t="n">
        <f aca="false">SRC_Model!$K44</f>
        <v>3</v>
      </c>
      <c r="F227" s="92" t="str">
        <f aca="false">SRC_Model!$S44</f>
        <v>—</v>
      </c>
    </row>
    <row r="228" customFormat="false" ht="15" hidden="false" customHeight="false" outlineLevel="0" collapsed="false">
      <c r="A228" s="92" t="str">
        <f aca="false">SRC_Model!$A45&amp;""</f>
        <v>SRC_MOD_041</v>
      </c>
      <c r="B228" s="61" t="s">
        <v>8476</v>
      </c>
      <c r="C228" s="60" t="n">
        <v>45</v>
      </c>
      <c r="D228" s="92" t="str">
        <f aca="false">SRC_Model!$O45</f>
        <v>Active</v>
      </c>
      <c r="E228" s="92" t="n">
        <f aca="false">SRC_Model!$K45</f>
        <v>3</v>
      </c>
      <c r="F228" s="92" t="str">
        <f aca="false">SRC_Model!$S45</f>
        <v>—</v>
      </c>
    </row>
    <row r="229" customFormat="false" ht="15" hidden="false" customHeight="false" outlineLevel="0" collapsed="false">
      <c r="A229" s="92" t="str">
        <f aca="false">SRC_Model!$A46&amp;""</f>
        <v>SRC_MOD_042</v>
      </c>
      <c r="B229" s="61" t="s">
        <v>8476</v>
      </c>
      <c r="C229" s="60" t="n">
        <v>46</v>
      </c>
      <c r="D229" s="92" t="str">
        <f aca="false">SRC_Model!$O46</f>
        <v>Active</v>
      </c>
      <c r="E229" s="92" t="n">
        <f aca="false">SRC_Model!$K46</f>
        <v>3</v>
      </c>
      <c r="F229" s="92" t="str">
        <f aca="false">SRC_Model!$S46</f>
        <v>—</v>
      </c>
    </row>
    <row r="230" customFormat="false" ht="15" hidden="false" customHeight="false" outlineLevel="0" collapsed="false">
      <c r="A230" s="92" t="str">
        <f aca="false">SRC_Model!$A47&amp;""</f>
        <v>SRC_MOD_043</v>
      </c>
      <c r="B230" s="61" t="s">
        <v>8476</v>
      </c>
      <c r="C230" s="60" t="n">
        <v>47</v>
      </c>
      <c r="D230" s="92" t="str">
        <f aca="false">SRC_Model!$O47</f>
        <v>Active</v>
      </c>
      <c r="E230" s="92" t="n">
        <f aca="false">SRC_Model!$K47</f>
        <v>1</v>
      </c>
      <c r="F230" s="92" t="str">
        <f aca="false">SRC_Model!$S47</f>
        <v>—</v>
      </c>
    </row>
    <row r="231" customFormat="false" ht="15" hidden="false" customHeight="false" outlineLevel="0" collapsed="false">
      <c r="A231" s="92" t="str">
        <f aca="false">SRC_Model!$A48&amp;""</f>
        <v>SRC_MOD_044</v>
      </c>
      <c r="B231" s="61" t="s">
        <v>8476</v>
      </c>
      <c r="C231" s="60" t="n">
        <v>48</v>
      </c>
      <c r="D231" s="92" t="str">
        <f aca="false">SRC_Model!$O48</f>
        <v>Active</v>
      </c>
      <c r="E231" s="92" t="n">
        <f aca="false">SRC_Model!$K48</f>
        <v>1</v>
      </c>
      <c r="F231" s="92" t="str">
        <f aca="false">SRC_Model!$S48</f>
        <v>—</v>
      </c>
    </row>
    <row r="232" customFormat="false" ht="15" hidden="false" customHeight="false" outlineLevel="0" collapsed="false">
      <c r="A232" s="92" t="str">
        <f aca="false">SRC_Model!$A49&amp;""</f>
        <v>SRC_MOD_045</v>
      </c>
      <c r="B232" s="61" t="s">
        <v>8476</v>
      </c>
      <c r="C232" s="60" t="n">
        <v>49</v>
      </c>
      <c r="D232" s="92" t="str">
        <f aca="false">SRC_Model!$O49</f>
        <v>Active</v>
      </c>
      <c r="E232" s="92" t="n">
        <f aca="false">SRC_Model!$K49</f>
        <v>2</v>
      </c>
      <c r="F232" s="92" t="str">
        <f aca="false">SRC_Model!$S49</f>
        <v>—</v>
      </c>
    </row>
    <row r="233" customFormat="false" ht="15" hidden="false" customHeight="false" outlineLevel="0" collapsed="false">
      <c r="A233" s="92" t="str">
        <f aca="false">SRC_Model!$A50&amp;""</f>
        <v>SRC_MOD_046</v>
      </c>
      <c r="B233" s="61" t="s">
        <v>8476</v>
      </c>
      <c r="C233" s="60" t="n">
        <v>50</v>
      </c>
      <c r="D233" s="92" t="str">
        <f aca="false">SRC_Model!$O50</f>
        <v>Active</v>
      </c>
      <c r="E233" s="92" t="n">
        <f aca="false">SRC_Model!$K50</f>
        <v>2</v>
      </c>
      <c r="F233" s="92" t="str">
        <f aca="false">SRC_Model!$S50</f>
        <v>—</v>
      </c>
    </row>
    <row r="234" customFormat="false" ht="15" hidden="false" customHeight="false" outlineLevel="0" collapsed="false">
      <c r="A234" s="92" t="str">
        <f aca="false">SRC_Model!$A51&amp;""</f>
        <v>SRC_MOD_047</v>
      </c>
      <c r="B234" s="61" t="s">
        <v>8476</v>
      </c>
      <c r="C234" s="60" t="n">
        <v>51</v>
      </c>
      <c r="D234" s="92" t="str">
        <f aca="false">SRC_Model!$O51</f>
        <v>Active</v>
      </c>
      <c r="E234" s="92" t="n">
        <f aca="false">SRC_Model!$K51</f>
        <v>1</v>
      </c>
      <c r="F234" s="92" t="str">
        <f aca="false">SRC_Model!$S51</f>
        <v>—</v>
      </c>
    </row>
    <row r="235" customFormat="false" ht="15" hidden="false" customHeight="false" outlineLevel="0" collapsed="false">
      <c r="A235" s="92" t="str">
        <f aca="false">SRC_Model!$A52&amp;""</f>
        <v>SRC_MOD_048</v>
      </c>
      <c r="B235" s="61" t="s">
        <v>8476</v>
      </c>
      <c r="C235" s="60" t="n">
        <v>52</v>
      </c>
      <c r="D235" s="92" t="str">
        <f aca="false">SRC_Model!$O52</f>
        <v>Active</v>
      </c>
      <c r="E235" s="92" t="n">
        <f aca="false">SRC_Model!$K52</f>
        <v>1</v>
      </c>
      <c r="F235" s="92" t="str">
        <f aca="false">SRC_Model!$S52</f>
        <v>—</v>
      </c>
    </row>
    <row r="236" customFormat="false" ht="15" hidden="false" customHeight="false" outlineLevel="0" collapsed="false">
      <c r="A236" s="92" t="str">
        <f aca="false">SRC_Model!$A53&amp;""</f>
        <v>SRC_MOD_049</v>
      </c>
      <c r="B236" s="61" t="s">
        <v>8476</v>
      </c>
      <c r="C236" s="60" t="n">
        <v>53</v>
      </c>
      <c r="D236" s="92" t="str">
        <f aca="false">SRC_Model!$O53</f>
        <v>Active</v>
      </c>
      <c r="E236" s="92" t="n">
        <f aca="false">SRC_Model!$K53</f>
        <v>3</v>
      </c>
      <c r="F236" s="92" t="str">
        <f aca="false">SRC_Model!$S53</f>
        <v>—</v>
      </c>
    </row>
    <row r="237" customFormat="false" ht="15" hidden="false" customHeight="false" outlineLevel="0" collapsed="false">
      <c r="A237" s="92" t="str">
        <f aca="false">SRC_Model!$A54&amp;""</f>
        <v>SRC_MOD_050</v>
      </c>
      <c r="B237" s="61" t="s">
        <v>8476</v>
      </c>
      <c r="C237" s="60" t="n">
        <v>54</v>
      </c>
      <c r="D237" s="92" t="str">
        <f aca="false">SRC_Model!$O54</f>
        <v>Active</v>
      </c>
      <c r="E237" s="92" t="n">
        <f aca="false">SRC_Model!$K54</f>
        <v>3</v>
      </c>
      <c r="F237" s="92" t="str">
        <f aca="false">SRC_Model!$S54</f>
        <v>—</v>
      </c>
    </row>
    <row r="238" customFormat="false" ht="15" hidden="false" customHeight="false" outlineLevel="0" collapsed="false">
      <c r="A238" s="92" t="str">
        <f aca="false">SRC_Model!$A55&amp;""</f>
        <v>SRC_MOD_051</v>
      </c>
      <c r="B238" s="61" t="s">
        <v>8476</v>
      </c>
      <c r="C238" s="60" t="n">
        <v>55</v>
      </c>
      <c r="D238" s="92" t="str">
        <f aca="false">SRC_Model!$O55</f>
        <v>Active</v>
      </c>
      <c r="E238" s="92" t="n">
        <f aca="false">SRC_Model!$K55</f>
        <v>3</v>
      </c>
      <c r="F238" s="92" t="str">
        <f aca="false">SRC_Model!$S55</f>
        <v>—</v>
      </c>
    </row>
    <row r="239" customFormat="false" ht="15" hidden="false" customHeight="false" outlineLevel="0" collapsed="false">
      <c r="A239" s="92" t="str">
        <f aca="false">SRC_Model!$A56&amp;""</f>
        <v>SRC_MOD_052</v>
      </c>
      <c r="B239" s="61" t="s">
        <v>8476</v>
      </c>
      <c r="C239" s="60" t="n">
        <v>56</v>
      </c>
      <c r="D239" s="92" t="str">
        <f aca="false">SRC_Model!$O56</f>
        <v>Active</v>
      </c>
      <c r="E239" s="92" t="n">
        <f aca="false">SRC_Model!$K56</f>
        <v>1</v>
      </c>
      <c r="F239" s="92" t="str">
        <f aca="false">SRC_Model!$S56</f>
        <v>—</v>
      </c>
    </row>
    <row r="240" customFormat="false" ht="15" hidden="false" customHeight="false" outlineLevel="0" collapsed="false">
      <c r="A240" s="92" t="str">
        <f aca="false">SRC_Model!$A57&amp;""</f>
        <v>SRC_MOD_053</v>
      </c>
      <c r="B240" s="61" t="s">
        <v>8476</v>
      </c>
      <c r="C240" s="60" t="n">
        <v>57</v>
      </c>
      <c r="D240" s="92" t="str">
        <f aca="false">SRC_Model!$O57</f>
        <v>Active</v>
      </c>
      <c r="E240" s="92" t="n">
        <f aca="false">SRC_Model!$K57</f>
        <v>1</v>
      </c>
      <c r="F240" s="92" t="str">
        <f aca="false">SRC_Model!$S57</f>
        <v>—</v>
      </c>
    </row>
    <row r="241" customFormat="false" ht="15" hidden="false" customHeight="false" outlineLevel="0" collapsed="false">
      <c r="A241" s="92" t="str">
        <f aca="false">SRC_Model!$A58&amp;""</f>
        <v>SRC_MOD_054</v>
      </c>
      <c r="B241" s="61" t="s">
        <v>8476</v>
      </c>
      <c r="C241" s="60" t="n">
        <v>58</v>
      </c>
      <c r="D241" s="92" t="str">
        <f aca="false">SRC_Model!$O58</f>
        <v>Active</v>
      </c>
      <c r="E241" s="92" t="n">
        <f aca="false">SRC_Model!$K58</f>
        <v>1</v>
      </c>
      <c r="F241" s="92" t="str">
        <f aca="false">SRC_Model!$S58</f>
        <v>—</v>
      </c>
    </row>
    <row r="242" customFormat="false" ht="15" hidden="false" customHeight="false" outlineLevel="0" collapsed="false">
      <c r="A242" s="92" t="str">
        <f aca="false">SRC_Model!$A59&amp;""</f>
        <v>SRC_MOD_055</v>
      </c>
      <c r="B242" s="61" t="s">
        <v>8476</v>
      </c>
      <c r="C242" s="60" t="n">
        <v>59</v>
      </c>
      <c r="D242" s="92" t="str">
        <f aca="false">SRC_Model!$O59</f>
        <v>Active</v>
      </c>
      <c r="E242" s="92" t="n">
        <f aca="false">SRC_Model!$K59</f>
        <v>1</v>
      </c>
      <c r="F242" s="92" t="str">
        <f aca="false">SRC_Model!$S59</f>
        <v>—</v>
      </c>
    </row>
    <row r="243" customFormat="false" ht="15" hidden="false" customHeight="false" outlineLevel="0" collapsed="false">
      <c r="A243" s="92" t="str">
        <f aca="false">SRC_Model!$A60&amp;""</f>
        <v>SRC_MOD_057</v>
      </c>
      <c r="B243" s="61" t="s">
        <v>8476</v>
      </c>
      <c r="C243" s="60" t="n">
        <v>60</v>
      </c>
      <c r="D243" s="92" t="str">
        <f aca="false">SRC_Model!$O60</f>
        <v>Active</v>
      </c>
      <c r="E243" s="92" t="n">
        <f aca="false">SRC_Model!$K60</f>
        <v>1</v>
      </c>
      <c r="F243" s="92" t="str">
        <f aca="false">SRC_Model!$S60</f>
        <v>—</v>
      </c>
    </row>
    <row r="244" customFormat="false" ht="15" hidden="false" customHeight="false" outlineLevel="0" collapsed="false">
      <c r="A244" s="92" t="str">
        <f aca="false">SRC_Model!$A61&amp;""</f>
        <v>SRC_MOD_058</v>
      </c>
      <c r="B244" s="61" t="s">
        <v>8476</v>
      </c>
      <c r="C244" s="60" t="n">
        <v>61</v>
      </c>
      <c r="D244" s="92" t="str">
        <f aca="false">SRC_Model!$O61</f>
        <v>Active</v>
      </c>
      <c r="E244" s="92" t="n">
        <f aca="false">SRC_Model!$K61</f>
        <v>1</v>
      </c>
      <c r="F244" s="92" t="str">
        <f aca="false">SRC_Model!$S61</f>
        <v>—</v>
      </c>
    </row>
    <row r="245" customFormat="false" ht="15" hidden="false" customHeight="false" outlineLevel="0" collapsed="false">
      <c r="A245" s="92" t="str">
        <f aca="false">SRC_Model!$A62&amp;""</f>
        <v>SRC_MOD_059</v>
      </c>
      <c r="B245" s="61" t="s">
        <v>8476</v>
      </c>
      <c r="C245" s="60" t="n">
        <v>62</v>
      </c>
      <c r="D245" s="92" t="str">
        <f aca="false">SRC_Model!$O62</f>
        <v>Active</v>
      </c>
      <c r="E245" s="92" t="n">
        <f aca="false">SRC_Model!$K62</f>
        <v>1</v>
      </c>
      <c r="F245" s="92" t="str">
        <f aca="false">SRC_Model!$S62</f>
        <v>—</v>
      </c>
    </row>
    <row r="246" customFormat="false" ht="15" hidden="false" customHeight="false" outlineLevel="0" collapsed="false">
      <c r="A246" s="92" t="str">
        <f aca="false">SRC_Model!$A63&amp;""</f>
        <v>SRC_MOD_060</v>
      </c>
      <c r="B246" s="61" t="s">
        <v>8476</v>
      </c>
      <c r="C246" s="60" t="n">
        <v>63</v>
      </c>
      <c r="D246" s="92" t="str">
        <f aca="false">SRC_Model!$O63</f>
        <v>Active</v>
      </c>
      <c r="E246" s="92" t="n">
        <f aca="false">SRC_Model!$K63</f>
        <v>1</v>
      </c>
      <c r="F246" s="92" t="str">
        <f aca="false">SRC_Model!$S63</f>
        <v>—</v>
      </c>
    </row>
    <row r="247" customFormat="false" ht="15" hidden="false" customHeight="false" outlineLevel="0" collapsed="false">
      <c r="A247" s="92" t="str">
        <f aca="false">SRC_Model!$A64&amp;""</f>
        <v>SRC_MOD_061</v>
      </c>
      <c r="B247" s="61" t="s">
        <v>8476</v>
      </c>
      <c r="C247" s="60" t="n">
        <v>64</v>
      </c>
      <c r="D247" s="92" t="str">
        <f aca="false">SRC_Model!$O64</f>
        <v>Active</v>
      </c>
      <c r="E247" s="92" t="n">
        <f aca="false">SRC_Model!$K64</f>
        <v>1</v>
      </c>
      <c r="F247" s="92" t="str">
        <f aca="false">SRC_Model!$S64</f>
        <v>—</v>
      </c>
    </row>
    <row r="248" customFormat="false" ht="15" hidden="false" customHeight="false" outlineLevel="0" collapsed="false">
      <c r="A248" s="92" t="str">
        <f aca="false">SRC_Model!$A65&amp;""</f>
        <v>SRC_MOD_062</v>
      </c>
      <c r="B248" s="61" t="s">
        <v>8476</v>
      </c>
      <c r="C248" s="60" t="n">
        <v>65</v>
      </c>
      <c r="D248" s="92" t="str">
        <f aca="false">SRC_Model!$O65</f>
        <v>Active</v>
      </c>
      <c r="E248" s="92" t="n">
        <f aca="false">SRC_Model!$K65</f>
        <v>1</v>
      </c>
      <c r="F248" s="92" t="str">
        <f aca="false">SRC_Model!$S65</f>
        <v>—</v>
      </c>
    </row>
    <row r="249" customFormat="false" ht="15" hidden="false" customHeight="false" outlineLevel="0" collapsed="false">
      <c r="A249" s="92" t="str">
        <f aca="false">SRC_Model!$A66&amp;""</f>
        <v/>
      </c>
      <c r="B249" s="61" t="s">
        <v>8476</v>
      </c>
      <c r="C249" s="60" t="n">
        <v>66</v>
      </c>
      <c r="D249" s="92" t="n">
        <f aca="false">SRC_Model!$O66</f>
        <v>0</v>
      </c>
      <c r="E249" s="92" t="n">
        <f aca="false">SRC_Model!$K66</f>
        <v>0</v>
      </c>
      <c r="F249" s="92" t="n">
        <f aca="false">SRC_Model!$S66</f>
        <v>0</v>
      </c>
    </row>
    <row r="250" customFormat="false" ht="15" hidden="false" customHeight="false" outlineLevel="0" collapsed="false">
      <c r="A250" s="92" t="str">
        <f aca="false">SRC_Model!$A67&amp;""</f>
        <v/>
      </c>
      <c r="B250" s="61" t="s">
        <v>8476</v>
      </c>
      <c r="C250" s="60" t="n">
        <v>67</v>
      </c>
      <c r="D250" s="92" t="n">
        <f aca="false">SRC_Model!$O67</f>
        <v>0</v>
      </c>
      <c r="E250" s="92" t="n">
        <f aca="false">SRC_Model!$K67</f>
        <v>0</v>
      </c>
      <c r="F250" s="92" t="n">
        <f aca="false">SRC_Model!$S67</f>
        <v>0</v>
      </c>
    </row>
    <row r="251" customFormat="false" ht="15" hidden="false" customHeight="false" outlineLevel="0" collapsed="false">
      <c r="A251" s="92" t="str">
        <f aca="false">SRC_Model!$A68&amp;""</f>
        <v/>
      </c>
      <c r="B251" s="61" t="s">
        <v>8476</v>
      </c>
      <c r="C251" s="60" t="n">
        <v>68</v>
      </c>
      <c r="D251" s="92" t="n">
        <f aca="false">SRC_Model!$O68</f>
        <v>0</v>
      </c>
      <c r="E251" s="92" t="n">
        <f aca="false">SRC_Model!$K68</f>
        <v>0</v>
      </c>
      <c r="F251" s="92" t="n">
        <f aca="false">SRC_Model!$S68</f>
        <v>0</v>
      </c>
    </row>
    <row r="252" customFormat="false" ht="15" hidden="false" customHeight="false" outlineLevel="0" collapsed="false">
      <c r="A252" s="92" t="str">
        <f aca="false">SRC_Model!$A69&amp;""</f>
        <v/>
      </c>
      <c r="B252" s="61" t="s">
        <v>8476</v>
      </c>
      <c r="C252" s="60" t="n">
        <v>69</v>
      </c>
      <c r="D252" s="92" t="n">
        <f aca="false">SRC_Model!$O69</f>
        <v>0</v>
      </c>
      <c r="E252" s="92" t="n">
        <f aca="false">SRC_Model!$K69</f>
        <v>0</v>
      </c>
      <c r="F252" s="92" t="n">
        <f aca="false">SRC_Model!$S69</f>
        <v>0</v>
      </c>
    </row>
    <row r="253" customFormat="false" ht="15" hidden="false" customHeight="false" outlineLevel="0" collapsed="false">
      <c r="A253" s="92" t="str">
        <f aca="false">SRC_Model!$A70&amp;""</f>
        <v/>
      </c>
      <c r="B253" s="61" t="s">
        <v>8476</v>
      </c>
      <c r="C253" s="60" t="n">
        <v>70</v>
      </c>
      <c r="D253" s="92" t="n">
        <f aca="false">SRC_Model!$O70</f>
        <v>0</v>
      </c>
      <c r="E253" s="92" t="n">
        <f aca="false">SRC_Model!$K70</f>
        <v>0</v>
      </c>
      <c r="F253" s="92" t="n">
        <f aca="false">SRC_Model!$S70</f>
        <v>0</v>
      </c>
    </row>
    <row r="254" customFormat="false" ht="15" hidden="false" customHeight="false" outlineLevel="0" collapsed="false">
      <c r="A254" s="92" t="str">
        <f aca="false">SRC_Model!$A71&amp;""</f>
        <v/>
      </c>
      <c r="B254" s="61" t="s">
        <v>8476</v>
      </c>
      <c r="C254" s="60" t="n">
        <v>71</v>
      </c>
      <c r="D254" s="92" t="n">
        <f aca="false">SRC_Model!$O71</f>
        <v>0</v>
      </c>
      <c r="E254" s="92" t="n">
        <f aca="false">SRC_Model!$K71</f>
        <v>0</v>
      </c>
      <c r="F254" s="92" t="n">
        <f aca="false">SRC_Model!$S71</f>
        <v>0</v>
      </c>
    </row>
    <row r="255" customFormat="false" ht="15" hidden="false" customHeight="false" outlineLevel="0" collapsed="false">
      <c r="A255" s="92" t="str">
        <f aca="false">SRC_Model!$A72&amp;""</f>
        <v/>
      </c>
      <c r="B255" s="61" t="s">
        <v>8476</v>
      </c>
      <c r="C255" s="60" t="n">
        <v>72</v>
      </c>
      <c r="D255" s="92" t="n">
        <f aca="false">SRC_Model!$O72</f>
        <v>0</v>
      </c>
      <c r="E255" s="92" t="n">
        <f aca="false">SRC_Model!$K72</f>
        <v>0</v>
      </c>
      <c r="F255" s="92" t="n">
        <f aca="false">SRC_Model!$S72</f>
        <v>0</v>
      </c>
    </row>
    <row r="256" customFormat="false" ht="15" hidden="false" customHeight="false" outlineLevel="0" collapsed="false">
      <c r="A256" s="92" t="str">
        <f aca="false">SRC_Model!$A73&amp;""</f>
        <v/>
      </c>
      <c r="B256" s="61" t="s">
        <v>8476</v>
      </c>
      <c r="C256" s="60" t="n">
        <v>73</v>
      </c>
      <c r="D256" s="92" t="n">
        <f aca="false">SRC_Model!$O73</f>
        <v>0</v>
      </c>
      <c r="E256" s="92" t="n">
        <f aca="false">SRC_Model!$K73</f>
        <v>0</v>
      </c>
      <c r="F256" s="92" t="n">
        <f aca="false">SRC_Model!$S73</f>
        <v>0</v>
      </c>
    </row>
    <row r="257" customFormat="false" ht="15" hidden="false" customHeight="false" outlineLevel="0" collapsed="false">
      <c r="A257" s="92" t="str">
        <f aca="false">SRC_Model!$A74&amp;""</f>
        <v/>
      </c>
      <c r="B257" s="61" t="s">
        <v>8476</v>
      </c>
      <c r="C257" s="60" t="n">
        <v>74</v>
      </c>
      <c r="D257" s="92" t="n">
        <f aca="false">SRC_Model!$O74</f>
        <v>0</v>
      </c>
      <c r="E257" s="92" t="n">
        <f aca="false">SRC_Model!$K74</f>
        <v>0</v>
      </c>
      <c r="F257" s="92" t="n">
        <f aca="false">SRC_Model!$S74</f>
        <v>0</v>
      </c>
    </row>
    <row r="258" customFormat="false" ht="15" hidden="false" customHeight="false" outlineLevel="0" collapsed="false">
      <c r="A258" s="92" t="str">
        <f aca="false">SRC_Model!$A75&amp;""</f>
        <v/>
      </c>
      <c r="B258" s="61" t="s">
        <v>8476</v>
      </c>
      <c r="C258" s="60" t="n">
        <v>75</v>
      </c>
      <c r="D258" s="92" t="n">
        <f aca="false">SRC_Model!$O75</f>
        <v>0</v>
      </c>
      <c r="E258" s="92" t="n">
        <f aca="false">SRC_Model!$K75</f>
        <v>0</v>
      </c>
      <c r="F258" s="92" t="n">
        <f aca="false">SRC_Model!$S75</f>
        <v>0</v>
      </c>
    </row>
    <row r="259" customFormat="false" ht="15" hidden="false" customHeight="false" outlineLevel="0" collapsed="false">
      <c r="A259" s="92" t="str">
        <f aca="false">SRC_Model!$A76&amp;""</f>
        <v/>
      </c>
      <c r="B259" s="61" t="s">
        <v>8476</v>
      </c>
      <c r="C259" s="60" t="n">
        <v>76</v>
      </c>
      <c r="D259" s="92" t="n">
        <f aca="false">SRC_Model!$O76</f>
        <v>0</v>
      </c>
      <c r="E259" s="92" t="n">
        <f aca="false">SRC_Model!$K76</f>
        <v>0</v>
      </c>
      <c r="F259" s="92" t="n">
        <f aca="false">SRC_Model!$S76</f>
        <v>0</v>
      </c>
    </row>
    <row r="260" customFormat="false" ht="15" hidden="false" customHeight="false" outlineLevel="0" collapsed="false">
      <c r="A260" s="92" t="str">
        <f aca="false">SRC_Model!$A77&amp;""</f>
        <v/>
      </c>
      <c r="B260" s="61" t="s">
        <v>8476</v>
      </c>
      <c r="C260" s="60" t="n">
        <v>77</v>
      </c>
      <c r="D260" s="92" t="n">
        <f aca="false">SRC_Model!$O77</f>
        <v>0</v>
      </c>
      <c r="E260" s="92" t="n">
        <f aca="false">SRC_Model!$K77</f>
        <v>0</v>
      </c>
      <c r="F260" s="92" t="n">
        <f aca="false">SRC_Model!$S77</f>
        <v>0</v>
      </c>
    </row>
    <row r="261" customFormat="false" ht="15" hidden="false" customHeight="false" outlineLevel="0" collapsed="false">
      <c r="A261" s="92" t="str">
        <f aca="false">SRC_Model!$A78&amp;""</f>
        <v/>
      </c>
      <c r="B261" s="61" t="s">
        <v>8476</v>
      </c>
      <c r="C261" s="60" t="n">
        <v>78</v>
      </c>
      <c r="D261" s="92" t="n">
        <f aca="false">SRC_Model!$O78</f>
        <v>0</v>
      </c>
      <c r="E261" s="92" t="n">
        <f aca="false">SRC_Model!$K78</f>
        <v>0</v>
      </c>
      <c r="F261" s="92" t="n">
        <f aca="false">SRC_Model!$S78</f>
        <v>0</v>
      </c>
    </row>
    <row r="262" customFormat="false" ht="15" hidden="false" customHeight="false" outlineLevel="0" collapsed="false">
      <c r="A262" s="92" t="str">
        <f aca="false">SRC_Model!$A79&amp;""</f>
        <v/>
      </c>
      <c r="B262" s="61" t="s">
        <v>8476</v>
      </c>
      <c r="C262" s="60" t="n">
        <v>79</v>
      </c>
      <c r="D262" s="92" t="n">
        <f aca="false">SRC_Model!$O79</f>
        <v>0</v>
      </c>
      <c r="E262" s="92" t="n">
        <f aca="false">SRC_Model!$K79</f>
        <v>0</v>
      </c>
      <c r="F262" s="92" t="n">
        <f aca="false">SRC_Model!$S79</f>
        <v>0</v>
      </c>
    </row>
    <row r="263" customFormat="false" ht="15" hidden="false" customHeight="false" outlineLevel="0" collapsed="false">
      <c r="A263" s="92" t="str">
        <f aca="false">SRC_Model!$A80&amp;""</f>
        <v/>
      </c>
      <c r="B263" s="61" t="s">
        <v>8476</v>
      </c>
      <c r="C263" s="60" t="n">
        <v>80</v>
      </c>
      <c r="D263" s="92" t="n">
        <f aca="false">SRC_Model!$O80</f>
        <v>0</v>
      </c>
      <c r="E263" s="92" t="n">
        <f aca="false">SRC_Model!$K80</f>
        <v>0</v>
      </c>
      <c r="F263" s="92" t="n">
        <f aca="false">SRC_Model!$S80</f>
        <v>0</v>
      </c>
    </row>
    <row r="264" customFormat="false" ht="15" hidden="false" customHeight="false" outlineLevel="0" collapsed="false">
      <c r="A264" s="92" t="str">
        <f aca="false">SRC_Model!$A81&amp;""</f>
        <v/>
      </c>
      <c r="B264" s="61" t="s">
        <v>8476</v>
      </c>
      <c r="C264" s="60" t="n">
        <v>81</v>
      </c>
      <c r="D264" s="92" t="n">
        <f aca="false">SRC_Model!$O81</f>
        <v>0</v>
      </c>
      <c r="E264" s="92" t="n">
        <f aca="false">SRC_Model!$K81</f>
        <v>0</v>
      </c>
      <c r="F264" s="92" t="n">
        <f aca="false">SRC_Model!$S81</f>
        <v>0</v>
      </c>
    </row>
    <row r="265" customFormat="false" ht="15" hidden="false" customHeight="false" outlineLevel="0" collapsed="false">
      <c r="A265" s="92" t="str">
        <f aca="false">SRC_Model!$A82&amp;""</f>
        <v/>
      </c>
      <c r="B265" s="61" t="s">
        <v>8476</v>
      </c>
      <c r="C265" s="60" t="n">
        <v>82</v>
      </c>
      <c r="D265" s="92" t="n">
        <f aca="false">SRC_Model!$O82</f>
        <v>0</v>
      </c>
      <c r="E265" s="92" t="n">
        <f aca="false">SRC_Model!$K82</f>
        <v>0</v>
      </c>
      <c r="F265" s="92" t="n">
        <f aca="false">SRC_Model!$S82</f>
        <v>0</v>
      </c>
    </row>
    <row r="266" customFormat="false" ht="15" hidden="false" customHeight="false" outlineLevel="0" collapsed="false">
      <c r="A266" s="92" t="str">
        <f aca="false">SRC_Model!$A83&amp;""</f>
        <v/>
      </c>
      <c r="B266" s="61" t="s">
        <v>8476</v>
      </c>
      <c r="C266" s="60" t="n">
        <v>83</v>
      </c>
      <c r="D266" s="92" t="n">
        <f aca="false">SRC_Model!$O83</f>
        <v>0</v>
      </c>
      <c r="E266" s="92" t="n">
        <f aca="false">SRC_Model!$K83</f>
        <v>0</v>
      </c>
      <c r="F266" s="92" t="n">
        <f aca="false">SRC_Model!$S83</f>
        <v>0</v>
      </c>
    </row>
    <row r="267" customFormat="false" ht="15" hidden="false" customHeight="false" outlineLevel="0" collapsed="false">
      <c r="A267" s="92" t="str">
        <f aca="false">SRC_Model!$A84&amp;""</f>
        <v/>
      </c>
      <c r="B267" s="61" t="s">
        <v>8476</v>
      </c>
      <c r="C267" s="60" t="n">
        <v>84</v>
      </c>
      <c r="D267" s="92" t="n">
        <f aca="false">SRC_Model!$O84</f>
        <v>0</v>
      </c>
      <c r="E267" s="92" t="n">
        <f aca="false">SRC_Model!$K84</f>
        <v>0</v>
      </c>
      <c r="F267" s="92" t="n">
        <f aca="false">SRC_Model!$S84</f>
        <v>0</v>
      </c>
    </row>
    <row r="268" customFormat="false" ht="15" hidden="false" customHeight="false" outlineLevel="0" collapsed="false">
      <c r="A268" s="92" t="str">
        <f aca="false">SRC_Model!$A85&amp;""</f>
        <v/>
      </c>
      <c r="B268" s="61" t="s">
        <v>8476</v>
      </c>
      <c r="C268" s="60" t="n">
        <v>85</v>
      </c>
      <c r="D268" s="92" t="n">
        <f aca="false">SRC_Model!$O85</f>
        <v>0</v>
      </c>
      <c r="E268" s="92" t="n">
        <f aca="false">SRC_Model!$K85</f>
        <v>0</v>
      </c>
      <c r="F268" s="92" t="n">
        <f aca="false">SRC_Model!$S85</f>
        <v>0</v>
      </c>
    </row>
    <row r="269" customFormat="false" ht="15" hidden="false" customHeight="false" outlineLevel="0" collapsed="false">
      <c r="A269" s="92" t="str">
        <f aca="false">SRC_Model!$A86&amp;""</f>
        <v/>
      </c>
      <c r="B269" s="61" t="s">
        <v>8476</v>
      </c>
      <c r="C269" s="60" t="n">
        <v>86</v>
      </c>
      <c r="D269" s="92" t="n">
        <f aca="false">SRC_Model!$O86</f>
        <v>0</v>
      </c>
      <c r="E269" s="92" t="n">
        <f aca="false">SRC_Model!$K86</f>
        <v>0</v>
      </c>
      <c r="F269" s="92" t="n">
        <f aca="false">SRC_Model!$S86</f>
        <v>0</v>
      </c>
    </row>
    <row r="270" customFormat="false" ht="15" hidden="false" customHeight="false" outlineLevel="0" collapsed="false">
      <c r="A270" s="92" t="str">
        <f aca="false">SRC_Model!$A87&amp;""</f>
        <v/>
      </c>
      <c r="B270" s="61" t="s">
        <v>8476</v>
      </c>
      <c r="C270" s="60" t="n">
        <v>87</v>
      </c>
      <c r="D270" s="92" t="n">
        <f aca="false">SRC_Model!$O87</f>
        <v>0</v>
      </c>
      <c r="E270" s="92" t="n">
        <f aca="false">SRC_Model!$K87</f>
        <v>0</v>
      </c>
      <c r="F270" s="92" t="n">
        <f aca="false">SRC_Model!$S87</f>
        <v>0</v>
      </c>
    </row>
    <row r="271" customFormat="false" ht="15" hidden="false" customHeight="false" outlineLevel="0" collapsed="false">
      <c r="A271" s="92" t="str">
        <f aca="false">SRC_Model!$A88&amp;""</f>
        <v/>
      </c>
      <c r="B271" s="61" t="s">
        <v>8476</v>
      </c>
      <c r="C271" s="60" t="n">
        <v>88</v>
      </c>
      <c r="D271" s="92" t="n">
        <f aca="false">SRC_Model!$O88</f>
        <v>0</v>
      </c>
      <c r="E271" s="92" t="n">
        <f aca="false">SRC_Model!$K88</f>
        <v>0</v>
      </c>
      <c r="F271" s="92" t="n">
        <f aca="false">SRC_Model!$S88</f>
        <v>0</v>
      </c>
    </row>
    <row r="272" customFormat="false" ht="15" hidden="false" customHeight="false" outlineLevel="0" collapsed="false">
      <c r="A272" s="92" t="str">
        <f aca="false">SRC_Model!$A89&amp;""</f>
        <v/>
      </c>
      <c r="B272" s="61" t="s">
        <v>8476</v>
      </c>
      <c r="C272" s="60" t="n">
        <v>89</v>
      </c>
      <c r="D272" s="92" t="n">
        <f aca="false">SRC_Model!$O89</f>
        <v>0</v>
      </c>
      <c r="E272" s="92" t="n">
        <f aca="false">SRC_Model!$K89</f>
        <v>0</v>
      </c>
      <c r="F272" s="92" t="n">
        <f aca="false">SRC_Model!$S89</f>
        <v>0</v>
      </c>
    </row>
    <row r="273" customFormat="false" ht="15" hidden="false" customHeight="false" outlineLevel="0" collapsed="false">
      <c r="A273" s="92" t="str">
        <f aca="false">SRC_Model!$A90&amp;""</f>
        <v/>
      </c>
      <c r="B273" s="61" t="s">
        <v>8476</v>
      </c>
      <c r="C273" s="60" t="n">
        <v>90</v>
      </c>
      <c r="D273" s="92" t="n">
        <f aca="false">SRC_Model!$O90</f>
        <v>0</v>
      </c>
      <c r="E273" s="92" t="n">
        <f aca="false">SRC_Model!$K90</f>
        <v>0</v>
      </c>
      <c r="F273" s="92" t="n">
        <f aca="false">SRC_Model!$S90</f>
        <v>0</v>
      </c>
    </row>
    <row r="274" customFormat="false" ht="15" hidden="false" customHeight="false" outlineLevel="0" collapsed="false">
      <c r="A274" s="92" t="str">
        <f aca="false">SRC_Model!$A91&amp;""</f>
        <v/>
      </c>
      <c r="B274" s="61" t="s">
        <v>8476</v>
      </c>
      <c r="C274" s="60" t="n">
        <v>91</v>
      </c>
      <c r="D274" s="92" t="n">
        <f aca="false">SRC_Model!$O91</f>
        <v>0</v>
      </c>
      <c r="E274" s="92" t="n">
        <f aca="false">SRC_Model!$K91</f>
        <v>0</v>
      </c>
      <c r="F274" s="92" t="n">
        <f aca="false">SRC_Model!$S91</f>
        <v>0</v>
      </c>
    </row>
    <row r="275" customFormat="false" ht="15" hidden="false" customHeight="false" outlineLevel="0" collapsed="false">
      <c r="A275" s="92" t="str">
        <f aca="false">SRC_Model!$A92&amp;""</f>
        <v/>
      </c>
      <c r="B275" s="61" t="s">
        <v>8476</v>
      </c>
      <c r="C275" s="60" t="n">
        <v>92</v>
      </c>
      <c r="D275" s="92" t="n">
        <f aca="false">SRC_Model!$O92</f>
        <v>0</v>
      </c>
      <c r="E275" s="92" t="n">
        <f aca="false">SRC_Model!$K92</f>
        <v>0</v>
      </c>
      <c r="F275" s="92" t="n">
        <f aca="false">SRC_Model!$S92</f>
        <v>0</v>
      </c>
    </row>
    <row r="276" customFormat="false" ht="15" hidden="false" customHeight="false" outlineLevel="0" collapsed="false">
      <c r="A276" s="92" t="str">
        <f aca="false">SRC_Model!$A93&amp;""</f>
        <v/>
      </c>
      <c r="B276" s="61" t="s">
        <v>8476</v>
      </c>
      <c r="C276" s="60" t="n">
        <v>93</v>
      </c>
      <c r="D276" s="92" t="n">
        <f aca="false">SRC_Model!$O93</f>
        <v>0</v>
      </c>
      <c r="E276" s="92" t="n">
        <f aca="false">SRC_Model!$K93</f>
        <v>0</v>
      </c>
      <c r="F276" s="92" t="n">
        <f aca="false">SRC_Model!$S93</f>
        <v>0</v>
      </c>
    </row>
    <row r="277" customFormat="false" ht="15" hidden="false" customHeight="false" outlineLevel="0" collapsed="false">
      <c r="A277" s="92" t="str">
        <f aca="false">SRC_Model!$A94&amp;""</f>
        <v/>
      </c>
      <c r="B277" s="61" t="s">
        <v>8476</v>
      </c>
      <c r="C277" s="60" t="n">
        <v>94</v>
      </c>
      <c r="D277" s="92" t="n">
        <f aca="false">SRC_Model!$O94</f>
        <v>0</v>
      </c>
      <c r="E277" s="92" t="n">
        <f aca="false">SRC_Model!$K94</f>
        <v>0</v>
      </c>
      <c r="F277" s="92" t="n">
        <f aca="false">SRC_Model!$S94</f>
        <v>0</v>
      </c>
    </row>
    <row r="278" customFormat="false" ht="15" hidden="false" customHeight="false" outlineLevel="0" collapsed="false">
      <c r="A278" s="92" t="str">
        <f aca="false">SRC_Model!$A95&amp;""</f>
        <v/>
      </c>
      <c r="B278" s="61" t="s">
        <v>8476</v>
      </c>
      <c r="C278" s="60" t="n">
        <v>95</v>
      </c>
      <c r="D278" s="92" t="n">
        <f aca="false">SRC_Model!$O95</f>
        <v>0</v>
      </c>
      <c r="E278" s="92" t="n">
        <f aca="false">SRC_Model!$K95</f>
        <v>0</v>
      </c>
      <c r="F278" s="92" t="n">
        <f aca="false">SRC_Model!$S95</f>
        <v>0</v>
      </c>
    </row>
    <row r="279" customFormat="false" ht="15" hidden="false" customHeight="false" outlineLevel="0" collapsed="false">
      <c r="A279" s="92" t="str">
        <f aca="false">SRC_Model!$A96&amp;""</f>
        <v/>
      </c>
      <c r="B279" s="61" t="s">
        <v>8476</v>
      </c>
      <c r="C279" s="60" t="n">
        <v>96</v>
      </c>
      <c r="D279" s="92" t="n">
        <f aca="false">SRC_Model!$O96</f>
        <v>0</v>
      </c>
      <c r="E279" s="92" t="n">
        <f aca="false">SRC_Model!$K96</f>
        <v>0</v>
      </c>
      <c r="F279" s="92" t="n">
        <f aca="false">SRC_Model!$S96</f>
        <v>0</v>
      </c>
    </row>
    <row r="280" customFormat="false" ht="15" hidden="false" customHeight="false" outlineLevel="0" collapsed="false">
      <c r="A280" s="92" t="str">
        <f aca="false">SRC_Model!$A97&amp;""</f>
        <v/>
      </c>
      <c r="B280" s="61" t="s">
        <v>8476</v>
      </c>
      <c r="C280" s="60" t="n">
        <v>97</v>
      </c>
      <c r="D280" s="92" t="n">
        <f aca="false">SRC_Model!$O97</f>
        <v>0</v>
      </c>
      <c r="E280" s="92" t="n">
        <f aca="false">SRC_Model!$K97</f>
        <v>0</v>
      </c>
      <c r="F280" s="92" t="n">
        <f aca="false">SRC_Model!$S97</f>
        <v>0</v>
      </c>
    </row>
    <row r="281" customFormat="false" ht="15" hidden="false" customHeight="false" outlineLevel="0" collapsed="false">
      <c r="A281" s="92" t="str">
        <f aca="false">SRC_Model!$A98&amp;""</f>
        <v/>
      </c>
      <c r="B281" s="61" t="s">
        <v>8476</v>
      </c>
      <c r="C281" s="60" t="n">
        <v>98</v>
      </c>
      <c r="D281" s="92" t="n">
        <f aca="false">SRC_Model!$O98</f>
        <v>0</v>
      </c>
      <c r="E281" s="92" t="n">
        <f aca="false">SRC_Model!$K98</f>
        <v>0</v>
      </c>
      <c r="F281" s="92" t="n">
        <f aca="false">SRC_Model!$S98</f>
        <v>0</v>
      </c>
    </row>
    <row r="282" customFormat="false" ht="15" hidden="false" customHeight="false" outlineLevel="0" collapsed="false">
      <c r="A282" s="92" t="str">
        <f aca="false">SRC_Model!$A99&amp;""</f>
        <v/>
      </c>
      <c r="B282" s="61" t="s">
        <v>8476</v>
      </c>
      <c r="C282" s="60" t="n">
        <v>99</v>
      </c>
      <c r="D282" s="92" t="n">
        <f aca="false">SRC_Model!$O99</f>
        <v>0</v>
      </c>
      <c r="E282" s="92" t="n">
        <f aca="false">SRC_Model!$K99</f>
        <v>0</v>
      </c>
      <c r="F282" s="92" t="n">
        <f aca="false">SRC_Model!$S99</f>
        <v>0</v>
      </c>
    </row>
    <row r="283" customFormat="false" ht="15" hidden="false" customHeight="false" outlineLevel="0" collapsed="false">
      <c r="A283" s="92" t="str">
        <f aca="false">SRC_Model!$A100&amp;""</f>
        <v/>
      </c>
      <c r="B283" s="61" t="s">
        <v>8476</v>
      </c>
      <c r="C283" s="60" t="n">
        <v>100</v>
      </c>
      <c r="D283" s="92" t="n">
        <f aca="false">SRC_Model!$O100</f>
        <v>0</v>
      </c>
      <c r="E283" s="92" t="n">
        <f aca="false">SRC_Model!$K100</f>
        <v>0</v>
      </c>
      <c r="F283" s="92" t="n">
        <f aca="false">SRC_Model!$S100</f>
        <v>0</v>
      </c>
    </row>
    <row r="284" customFormat="false" ht="15" hidden="false" customHeight="false" outlineLevel="0" collapsed="false">
      <c r="A284" s="92" t="str">
        <f aca="false">SRC_Model!$A101&amp;""</f>
        <v/>
      </c>
      <c r="B284" s="61" t="s">
        <v>8476</v>
      </c>
      <c r="C284" s="60" t="n">
        <v>101</v>
      </c>
      <c r="D284" s="92" t="n">
        <f aca="false">SRC_Model!$O101</f>
        <v>0</v>
      </c>
      <c r="E284" s="92" t="n">
        <f aca="false">SRC_Model!$K101</f>
        <v>0</v>
      </c>
      <c r="F284" s="92" t="n">
        <f aca="false">SRC_Model!$S101</f>
        <v>0</v>
      </c>
    </row>
    <row r="285" customFormat="false" ht="15" hidden="false" customHeight="false" outlineLevel="0" collapsed="false">
      <c r="A285" s="92" t="str">
        <f aca="false">SRC_Model!$A102&amp;""</f>
        <v/>
      </c>
      <c r="B285" s="61" t="s">
        <v>8476</v>
      </c>
      <c r="C285" s="60" t="n">
        <v>102</v>
      </c>
      <c r="D285" s="92" t="n">
        <f aca="false">SRC_Model!$O102</f>
        <v>0</v>
      </c>
      <c r="E285" s="92" t="n">
        <f aca="false">SRC_Model!$K102</f>
        <v>0</v>
      </c>
      <c r="F285" s="92" t="n">
        <f aca="false">SRC_Model!$S102</f>
        <v>0</v>
      </c>
    </row>
    <row r="286" customFormat="false" ht="15" hidden="false" customHeight="false" outlineLevel="0" collapsed="false">
      <c r="A286" s="92" t="str">
        <f aca="false">SRC_Model!$A103&amp;""</f>
        <v/>
      </c>
      <c r="B286" s="61" t="s">
        <v>8476</v>
      </c>
      <c r="C286" s="60" t="n">
        <v>103</v>
      </c>
      <c r="D286" s="92" t="n">
        <f aca="false">SRC_Model!$O103</f>
        <v>0</v>
      </c>
      <c r="E286" s="92" t="n">
        <f aca="false">SRC_Model!$K103</f>
        <v>0</v>
      </c>
      <c r="F286" s="92" t="n">
        <f aca="false">SRC_Model!$S103</f>
        <v>0</v>
      </c>
    </row>
    <row r="287" customFormat="false" ht="15" hidden="false" customHeight="false" outlineLevel="0" collapsed="false">
      <c r="A287" s="92" t="str">
        <f aca="false">SRC_Model!$A104&amp;""</f>
        <v/>
      </c>
      <c r="B287" s="61" t="s">
        <v>8476</v>
      </c>
      <c r="C287" s="60" t="n">
        <v>104</v>
      </c>
      <c r="D287" s="92" t="n">
        <f aca="false">SRC_Model!$O104</f>
        <v>0</v>
      </c>
      <c r="E287" s="92" t="n">
        <f aca="false">SRC_Model!$K104</f>
        <v>0</v>
      </c>
      <c r="F287" s="92" t="n">
        <f aca="false">SRC_Model!$S104</f>
        <v>0</v>
      </c>
    </row>
    <row r="288" customFormat="false" ht="15" hidden="false" customHeight="false" outlineLevel="0" collapsed="false">
      <c r="A288" s="92" t="str">
        <f aca="false">SRC_Model!$A105&amp;""</f>
        <v/>
      </c>
      <c r="B288" s="61" t="s">
        <v>8476</v>
      </c>
      <c r="C288" s="60" t="n">
        <v>105</v>
      </c>
      <c r="D288" s="92" t="n">
        <f aca="false">SRC_Model!$O105</f>
        <v>0</v>
      </c>
      <c r="E288" s="92" t="n">
        <f aca="false">SRC_Model!$K105</f>
        <v>0</v>
      </c>
      <c r="F288" s="92" t="n">
        <f aca="false">SRC_Model!$S105</f>
        <v>0</v>
      </c>
    </row>
    <row r="289" customFormat="false" ht="15" hidden="false" customHeight="false" outlineLevel="0" collapsed="false">
      <c r="A289" s="92" t="str">
        <f aca="false">SRC_Model!$A106&amp;""</f>
        <v/>
      </c>
      <c r="B289" s="61" t="s">
        <v>8476</v>
      </c>
      <c r="C289" s="60" t="n">
        <v>106</v>
      </c>
      <c r="D289" s="92" t="n">
        <f aca="false">SRC_Model!$O106</f>
        <v>0</v>
      </c>
      <c r="E289" s="92" t="n">
        <f aca="false">SRC_Model!$K106</f>
        <v>0</v>
      </c>
      <c r="F289" s="92" t="n">
        <f aca="false">SRC_Model!$S106</f>
        <v>0</v>
      </c>
    </row>
    <row r="290" customFormat="false" ht="15" hidden="false" customHeight="false" outlineLevel="0" collapsed="false">
      <c r="A290" s="92" t="str">
        <f aca="false">SRC_Model!$A107&amp;""</f>
        <v/>
      </c>
      <c r="B290" s="61" t="s">
        <v>8476</v>
      </c>
      <c r="C290" s="60" t="n">
        <v>107</v>
      </c>
      <c r="D290" s="92" t="n">
        <f aca="false">SRC_Model!$O107</f>
        <v>0</v>
      </c>
      <c r="E290" s="92" t="n">
        <f aca="false">SRC_Model!$K107</f>
        <v>0</v>
      </c>
      <c r="F290" s="92" t="n">
        <f aca="false">SRC_Model!$S107</f>
        <v>0</v>
      </c>
    </row>
    <row r="291" customFormat="false" ht="15" hidden="false" customHeight="false" outlineLevel="0" collapsed="false">
      <c r="A291" s="92" t="str">
        <f aca="false">SRC_Model!$A108&amp;""</f>
        <v/>
      </c>
      <c r="B291" s="61" t="s">
        <v>8476</v>
      </c>
      <c r="C291" s="60" t="n">
        <v>108</v>
      </c>
      <c r="D291" s="92" t="n">
        <f aca="false">SRC_Model!$O108</f>
        <v>0</v>
      </c>
      <c r="E291" s="92" t="n">
        <f aca="false">SRC_Model!$K108</f>
        <v>0</v>
      </c>
      <c r="F291" s="92" t="n">
        <f aca="false">SRC_Model!$S108</f>
        <v>0</v>
      </c>
    </row>
    <row r="292" customFormat="false" ht="15" hidden="false" customHeight="false" outlineLevel="0" collapsed="false">
      <c r="A292" s="92" t="str">
        <f aca="false">SRC_Model!$A109&amp;""</f>
        <v/>
      </c>
      <c r="B292" s="61" t="s">
        <v>8476</v>
      </c>
      <c r="C292" s="60" t="n">
        <v>109</v>
      </c>
      <c r="D292" s="92" t="n">
        <f aca="false">SRC_Model!$O109</f>
        <v>0</v>
      </c>
      <c r="E292" s="92" t="n">
        <f aca="false">SRC_Model!$K109</f>
        <v>0</v>
      </c>
      <c r="F292" s="92" t="n">
        <f aca="false">SRC_Model!$S109</f>
        <v>0</v>
      </c>
    </row>
    <row r="293" customFormat="false" ht="15" hidden="false" customHeight="false" outlineLevel="0" collapsed="false">
      <c r="A293" s="92" t="str">
        <f aca="false">SRC_Model!$A110&amp;""</f>
        <v/>
      </c>
      <c r="B293" s="61" t="s">
        <v>8476</v>
      </c>
      <c r="C293" s="60" t="n">
        <v>110</v>
      </c>
      <c r="D293" s="92" t="n">
        <f aca="false">SRC_Model!$O110</f>
        <v>0</v>
      </c>
      <c r="E293" s="92" t="n">
        <f aca="false">SRC_Model!$K110</f>
        <v>0</v>
      </c>
      <c r="F293" s="92" t="n">
        <f aca="false">SRC_Model!$S110</f>
        <v>0</v>
      </c>
    </row>
    <row r="294" customFormat="false" ht="15" hidden="false" customHeight="false" outlineLevel="0" collapsed="false">
      <c r="A294" s="92" t="str">
        <f aca="false">SRC_Model!$A111&amp;""</f>
        <v/>
      </c>
      <c r="B294" s="61" t="s">
        <v>8476</v>
      </c>
      <c r="C294" s="60" t="n">
        <v>111</v>
      </c>
      <c r="D294" s="92" t="n">
        <f aca="false">SRC_Model!$O111</f>
        <v>0</v>
      </c>
      <c r="E294" s="92" t="n">
        <f aca="false">SRC_Model!$K111</f>
        <v>0</v>
      </c>
      <c r="F294" s="92" t="n">
        <f aca="false">SRC_Model!$S111</f>
        <v>0</v>
      </c>
    </row>
    <row r="295" customFormat="false" ht="15" hidden="false" customHeight="false" outlineLevel="0" collapsed="false">
      <c r="A295" s="92" t="str">
        <f aca="false">SRC_Model!$A112&amp;""</f>
        <v/>
      </c>
      <c r="B295" s="61" t="s">
        <v>8476</v>
      </c>
      <c r="C295" s="60" t="n">
        <v>112</v>
      </c>
      <c r="D295" s="92" t="n">
        <f aca="false">SRC_Model!$O112</f>
        <v>0</v>
      </c>
      <c r="E295" s="92" t="n">
        <f aca="false">SRC_Model!$K112</f>
        <v>0</v>
      </c>
      <c r="F295" s="92" t="n">
        <f aca="false">SRC_Model!$S112</f>
        <v>0</v>
      </c>
    </row>
    <row r="296" customFormat="false" ht="15" hidden="false" customHeight="false" outlineLevel="0" collapsed="false">
      <c r="A296" s="92" t="str">
        <f aca="false">SRC_Model!$A113&amp;""</f>
        <v/>
      </c>
      <c r="B296" s="61" t="s">
        <v>8476</v>
      </c>
      <c r="C296" s="60" t="n">
        <v>113</v>
      </c>
      <c r="D296" s="92" t="n">
        <f aca="false">SRC_Model!$O113</f>
        <v>0</v>
      </c>
      <c r="E296" s="92" t="n">
        <f aca="false">SRC_Model!$K113</f>
        <v>0</v>
      </c>
      <c r="F296" s="92" t="n">
        <f aca="false">SRC_Model!$S113</f>
        <v>0</v>
      </c>
    </row>
    <row r="297" customFormat="false" ht="15" hidden="false" customHeight="false" outlineLevel="0" collapsed="false">
      <c r="A297" s="92" t="str">
        <f aca="false">SRC_Model!$A114&amp;""</f>
        <v/>
      </c>
      <c r="B297" s="61" t="s">
        <v>8476</v>
      </c>
      <c r="C297" s="60" t="n">
        <v>114</v>
      </c>
      <c r="D297" s="92" t="n">
        <f aca="false">SRC_Model!$O114</f>
        <v>0</v>
      </c>
      <c r="E297" s="92" t="n">
        <f aca="false">SRC_Model!$K114</f>
        <v>0</v>
      </c>
      <c r="F297" s="92" t="n">
        <f aca="false">SRC_Model!$S114</f>
        <v>0</v>
      </c>
    </row>
    <row r="298" customFormat="false" ht="15" hidden="false" customHeight="false" outlineLevel="0" collapsed="false">
      <c r="A298" s="92" t="str">
        <f aca="false">SRC_Model!$A115&amp;""</f>
        <v/>
      </c>
      <c r="B298" s="61" t="s">
        <v>8476</v>
      </c>
      <c r="C298" s="60" t="n">
        <v>115</v>
      </c>
      <c r="D298" s="92" t="n">
        <f aca="false">SRC_Model!$O115</f>
        <v>0</v>
      </c>
      <c r="E298" s="92" t="n">
        <f aca="false">SRC_Model!$K115</f>
        <v>0</v>
      </c>
      <c r="F298" s="92" t="n">
        <f aca="false">SRC_Model!$S115</f>
        <v>0</v>
      </c>
    </row>
    <row r="299" customFormat="false" ht="15" hidden="false" customHeight="false" outlineLevel="0" collapsed="false">
      <c r="A299" s="92" t="str">
        <f aca="false">SRC_Perf!$A5&amp;""</f>
        <v>SRC_PERF_001</v>
      </c>
      <c r="B299" s="61" t="s">
        <v>8477</v>
      </c>
      <c r="C299" s="60" t="n">
        <v>5</v>
      </c>
      <c r="D299" s="92" t="str">
        <f aca="false">SRC_Perf!$O5</f>
        <v>Active</v>
      </c>
      <c r="E299" s="92" t="n">
        <f aca="false">SRC_Perf!$K5</f>
        <v>1</v>
      </c>
      <c r="F299" s="92" t="str">
        <f aca="false">SRC_Perf!$S5</f>
        <v>—</v>
      </c>
    </row>
    <row r="300" customFormat="false" ht="15" hidden="false" customHeight="false" outlineLevel="0" collapsed="false">
      <c r="A300" s="92" t="str">
        <f aca="false">SRC_Perf!$A6&amp;""</f>
        <v>SRC_PERF_002</v>
      </c>
      <c r="B300" s="61" t="s">
        <v>8477</v>
      </c>
      <c r="C300" s="60" t="n">
        <v>6</v>
      </c>
      <c r="D300" s="92" t="str">
        <f aca="false">SRC_Perf!$O6</f>
        <v>Active</v>
      </c>
      <c r="E300" s="92" t="n">
        <f aca="false">SRC_Perf!$K6</f>
        <v>1</v>
      </c>
      <c r="F300" s="92" t="str">
        <f aca="false">SRC_Perf!$S6</f>
        <v>—</v>
      </c>
    </row>
    <row r="301" customFormat="false" ht="15" hidden="false" customHeight="false" outlineLevel="0" collapsed="false">
      <c r="A301" s="92" t="str">
        <f aca="false">SRC_Perf!$A7&amp;""</f>
        <v>SRC_PERF_003</v>
      </c>
      <c r="B301" s="61" t="s">
        <v>8477</v>
      </c>
      <c r="C301" s="60" t="n">
        <v>7</v>
      </c>
      <c r="D301" s="92" t="str">
        <f aca="false">SRC_Perf!$O7</f>
        <v>Active</v>
      </c>
      <c r="E301" s="92" t="n">
        <f aca="false">SRC_Perf!$K7</f>
        <v>1</v>
      </c>
      <c r="F301" s="92" t="str">
        <f aca="false">SRC_Perf!$S7</f>
        <v>—</v>
      </c>
    </row>
    <row r="302" customFormat="false" ht="15" hidden="false" customHeight="false" outlineLevel="0" collapsed="false">
      <c r="A302" s="92" t="str">
        <f aca="false">SRC_Perf!$A8&amp;""</f>
        <v>SRC_PERF_004</v>
      </c>
      <c r="B302" s="61" t="s">
        <v>8477</v>
      </c>
      <c r="C302" s="60" t="n">
        <v>8</v>
      </c>
      <c r="D302" s="92" t="str">
        <f aca="false">SRC_Perf!$O8</f>
        <v>Active</v>
      </c>
      <c r="E302" s="92" t="n">
        <f aca="false">SRC_Perf!$K8</f>
        <v>1</v>
      </c>
      <c r="F302" s="92" t="str">
        <f aca="false">SRC_Perf!$S8</f>
        <v>—</v>
      </c>
    </row>
    <row r="303" customFormat="false" ht="15" hidden="false" customHeight="false" outlineLevel="0" collapsed="false">
      <c r="A303" s="92" t="str">
        <f aca="false">SRC_Perf!$A9&amp;""</f>
        <v>SRC_PERF_005</v>
      </c>
      <c r="B303" s="61" t="s">
        <v>8477</v>
      </c>
      <c r="C303" s="60" t="n">
        <v>9</v>
      </c>
      <c r="D303" s="92" t="str">
        <f aca="false">SRC_Perf!$O9</f>
        <v>Active</v>
      </c>
      <c r="E303" s="92" t="n">
        <f aca="false">SRC_Perf!$K9</f>
        <v>1</v>
      </c>
      <c r="F303" s="92" t="str">
        <f aca="false">SRC_Perf!$S9</f>
        <v>—</v>
      </c>
    </row>
    <row r="304" customFormat="false" ht="15" hidden="false" customHeight="false" outlineLevel="0" collapsed="false">
      <c r="A304" s="92" t="str">
        <f aca="false">SRC_Perf!$A10&amp;""</f>
        <v>SRC_PERF_006</v>
      </c>
      <c r="B304" s="61" t="s">
        <v>8477</v>
      </c>
      <c r="C304" s="60" t="n">
        <v>10</v>
      </c>
      <c r="D304" s="92" t="str">
        <f aca="false">SRC_Perf!$O10</f>
        <v>Superseded</v>
      </c>
      <c r="E304" s="92" t="n">
        <f aca="false">SRC_Perf!$K10</f>
        <v>1</v>
      </c>
      <c r="F304" s="92" t="str">
        <f aca="false">SRC_Perf!$S10</f>
        <v>—</v>
      </c>
    </row>
    <row r="305" customFormat="false" ht="15" hidden="false" customHeight="false" outlineLevel="0" collapsed="false">
      <c r="A305" s="92" t="str">
        <f aca="false">SRC_Perf!$A11&amp;""</f>
        <v>SRC_PERF_007</v>
      </c>
      <c r="B305" s="61" t="s">
        <v>8477</v>
      </c>
      <c r="C305" s="60" t="n">
        <v>11</v>
      </c>
      <c r="D305" s="92" t="str">
        <f aca="false">SRC_Perf!$O11</f>
        <v>Active</v>
      </c>
      <c r="E305" s="92" t="n">
        <f aca="false">SRC_Perf!$K11</f>
        <v>1</v>
      </c>
      <c r="F305" s="92" t="str">
        <f aca="false">SRC_Perf!$S11</f>
        <v>—</v>
      </c>
    </row>
    <row r="306" customFormat="false" ht="15" hidden="false" customHeight="false" outlineLevel="0" collapsed="false">
      <c r="A306" s="92" t="str">
        <f aca="false">SRC_Perf!$A12&amp;""</f>
        <v>SRC_PERF_008</v>
      </c>
      <c r="B306" s="61" t="s">
        <v>8477</v>
      </c>
      <c r="C306" s="60" t="n">
        <v>12</v>
      </c>
      <c r="D306" s="92" t="str">
        <f aca="false">SRC_Perf!$O12</f>
        <v>Active</v>
      </c>
      <c r="E306" s="92" t="n">
        <f aca="false">SRC_Perf!$K12</f>
        <v>1</v>
      </c>
      <c r="F306" s="92" t="str">
        <f aca="false">SRC_Perf!$S12</f>
        <v>—</v>
      </c>
    </row>
    <row r="307" customFormat="false" ht="15" hidden="false" customHeight="false" outlineLevel="0" collapsed="false">
      <c r="A307" s="92" t="str">
        <f aca="false">SRC_Perf!$A13&amp;""</f>
        <v>SRC_PERF_009</v>
      </c>
      <c r="B307" s="61" t="s">
        <v>8477</v>
      </c>
      <c r="C307" s="60" t="n">
        <v>13</v>
      </c>
      <c r="D307" s="92" t="str">
        <f aca="false">SRC_Perf!$O13</f>
        <v>Active</v>
      </c>
      <c r="E307" s="92" t="n">
        <f aca="false">SRC_Perf!$K13</f>
        <v>2</v>
      </c>
      <c r="F307" s="92" t="str">
        <f aca="false">SRC_Perf!$S13</f>
        <v>2026-10-05</v>
      </c>
    </row>
    <row r="308" customFormat="false" ht="15" hidden="false" customHeight="false" outlineLevel="0" collapsed="false">
      <c r="A308" s="92" t="str">
        <f aca="false">SRC_Perf!$A14&amp;""</f>
        <v>SRC_PERF_010</v>
      </c>
      <c r="B308" s="61" t="s">
        <v>8477</v>
      </c>
      <c r="C308" s="60" t="n">
        <v>14</v>
      </c>
      <c r="D308" s="92" t="str">
        <f aca="false">SRC_Perf!$O14</f>
        <v>Active</v>
      </c>
      <c r="E308" s="92" t="n">
        <f aca="false">SRC_Perf!$K14</f>
        <v>2</v>
      </c>
      <c r="F308" s="92" t="str">
        <f aca="false">SRC_Perf!$S14</f>
        <v>2026-10-05</v>
      </c>
    </row>
    <row r="309" customFormat="false" ht="15" hidden="false" customHeight="false" outlineLevel="0" collapsed="false">
      <c r="A309" s="92" t="str">
        <f aca="false">SRC_Perf!$A15&amp;""</f>
        <v>SRC_PERF_011</v>
      </c>
      <c r="B309" s="61" t="s">
        <v>8477</v>
      </c>
      <c r="C309" s="60" t="n">
        <v>15</v>
      </c>
      <c r="D309" s="92" t="str">
        <f aca="false">SRC_Perf!$O15</f>
        <v>Active</v>
      </c>
      <c r="E309" s="92" t="n">
        <f aca="false">SRC_Perf!$K15</f>
        <v>3</v>
      </c>
      <c r="F309" s="92" t="str">
        <f aca="false">SRC_Perf!$S15</f>
        <v>—</v>
      </c>
    </row>
    <row r="310" customFormat="false" ht="15" hidden="false" customHeight="false" outlineLevel="0" collapsed="false">
      <c r="A310" s="92" t="str">
        <f aca="false">SRC_Perf!$A16&amp;""</f>
        <v>SRC_PERF_012</v>
      </c>
      <c r="B310" s="61" t="s">
        <v>8477</v>
      </c>
      <c r="C310" s="60" t="n">
        <v>16</v>
      </c>
      <c r="D310" s="92" t="str">
        <f aca="false">SRC_Perf!$O16</f>
        <v>Active</v>
      </c>
      <c r="E310" s="92" t="n">
        <f aca="false">SRC_Perf!$K16</f>
        <v>3</v>
      </c>
      <c r="F310" s="92" t="str">
        <f aca="false">SRC_Perf!$S16</f>
        <v>—</v>
      </c>
    </row>
    <row r="311" customFormat="false" ht="15" hidden="false" customHeight="false" outlineLevel="0" collapsed="false">
      <c r="A311" s="92" t="str">
        <f aca="false">SRC_Perf!$A17&amp;""</f>
        <v>SRC_PERF_013</v>
      </c>
      <c r="B311" s="61" t="s">
        <v>8477</v>
      </c>
      <c r="C311" s="60" t="n">
        <v>17</v>
      </c>
      <c r="D311" s="92" t="str">
        <f aca="false">SRC_Perf!$O17</f>
        <v>Active</v>
      </c>
      <c r="E311" s="92" t="n">
        <f aca="false">SRC_Perf!$K17</f>
        <v>3</v>
      </c>
      <c r="F311" s="92" t="str">
        <f aca="false">SRC_Perf!$S17</f>
        <v>—</v>
      </c>
    </row>
    <row r="312" customFormat="false" ht="15" hidden="false" customHeight="false" outlineLevel="0" collapsed="false">
      <c r="A312" s="92" t="str">
        <f aca="false">SRC_Perf!$A18&amp;""</f>
        <v>SRC_PERF_014</v>
      </c>
      <c r="B312" s="61" t="s">
        <v>8477</v>
      </c>
      <c r="C312" s="60" t="n">
        <v>18</v>
      </c>
      <c r="D312" s="92" t="str">
        <f aca="false">SRC_Perf!$O18</f>
        <v>Active</v>
      </c>
      <c r="E312" s="92" t="n">
        <f aca="false">SRC_Perf!$K18</f>
        <v>1</v>
      </c>
      <c r="F312" s="92" t="str">
        <f aca="false">SRC_Perf!$S18</f>
        <v>—</v>
      </c>
    </row>
    <row r="313" customFormat="false" ht="15" hidden="false" customHeight="false" outlineLevel="0" collapsed="false">
      <c r="A313" s="92" t="str">
        <f aca="false">SRC_Perf!$A19&amp;""</f>
        <v>SRC_PERF_015</v>
      </c>
      <c r="B313" s="61" t="s">
        <v>8477</v>
      </c>
      <c r="C313" s="60" t="n">
        <v>19</v>
      </c>
      <c r="D313" s="92" t="str">
        <f aca="false">SRC_Perf!$O19</f>
        <v>Active</v>
      </c>
      <c r="E313" s="92" t="n">
        <f aca="false">SRC_Perf!$K19</f>
        <v>1</v>
      </c>
      <c r="F313" s="92" t="str">
        <f aca="false">SRC_Perf!$S19</f>
        <v>—</v>
      </c>
    </row>
    <row r="314" customFormat="false" ht="15" hidden="false" customHeight="false" outlineLevel="0" collapsed="false">
      <c r="A314" s="92" t="str">
        <f aca="false">SRC_Perf!$A20&amp;""</f>
        <v>SRC_PERF_016</v>
      </c>
      <c r="B314" s="61" t="s">
        <v>8477</v>
      </c>
      <c r="C314" s="60" t="n">
        <v>20</v>
      </c>
      <c r="D314" s="92" t="str">
        <f aca="false">SRC_Perf!$O20</f>
        <v>Active</v>
      </c>
      <c r="E314" s="92" t="n">
        <f aca="false">SRC_Perf!$K20</f>
        <v>1</v>
      </c>
      <c r="F314" s="92" t="str">
        <f aca="false">SRC_Perf!$S20</f>
        <v>—</v>
      </c>
    </row>
    <row r="315" customFormat="false" ht="15" hidden="false" customHeight="false" outlineLevel="0" collapsed="false">
      <c r="A315" s="92" t="str">
        <f aca="false">SRC_Perf!$A21&amp;""</f>
        <v>SRC_PERF_017</v>
      </c>
      <c r="B315" s="61" t="s">
        <v>8477</v>
      </c>
      <c r="C315" s="60" t="n">
        <v>21</v>
      </c>
      <c r="D315" s="92" t="str">
        <f aca="false">SRC_Perf!$O21</f>
        <v>Active</v>
      </c>
      <c r="E315" s="92" t="n">
        <f aca="false">SRC_Perf!$K21</f>
        <v>1</v>
      </c>
      <c r="F315" s="92" t="str">
        <f aca="false">SRC_Perf!$S21</f>
        <v>—</v>
      </c>
    </row>
    <row r="316" customFormat="false" ht="15" hidden="false" customHeight="false" outlineLevel="0" collapsed="false">
      <c r="A316" s="92" t="str">
        <f aca="false">SRC_Perf!$A22&amp;""</f>
        <v>SRC_PERF_018</v>
      </c>
      <c r="B316" s="61" t="s">
        <v>8477</v>
      </c>
      <c r="C316" s="60" t="n">
        <v>22</v>
      </c>
      <c r="D316" s="92" t="str">
        <f aca="false">SRC_Perf!$O22</f>
        <v>Active</v>
      </c>
      <c r="E316" s="92" t="n">
        <f aca="false">SRC_Perf!$K22</f>
        <v>1</v>
      </c>
      <c r="F316" s="92" t="str">
        <f aca="false">SRC_Perf!$S22</f>
        <v>—</v>
      </c>
    </row>
    <row r="317" customFormat="false" ht="15" hidden="false" customHeight="false" outlineLevel="0" collapsed="false">
      <c r="A317" s="92" t="str">
        <f aca="false">SRC_Perf!$A23&amp;""</f>
        <v>SRC_PERF_019</v>
      </c>
      <c r="B317" s="61" t="s">
        <v>8477</v>
      </c>
      <c r="C317" s="60" t="n">
        <v>23</v>
      </c>
      <c r="D317" s="92" t="str">
        <f aca="false">SRC_Perf!$O23</f>
        <v>Active</v>
      </c>
      <c r="E317" s="92" t="n">
        <f aca="false">SRC_Perf!$K23</f>
        <v>1</v>
      </c>
      <c r="F317" s="92" t="str">
        <f aca="false">SRC_Perf!$S23</f>
        <v>—</v>
      </c>
    </row>
    <row r="318" customFormat="false" ht="15" hidden="false" customHeight="false" outlineLevel="0" collapsed="false">
      <c r="A318" s="92" t="str">
        <f aca="false">SRC_Perf!$A24&amp;""</f>
        <v>SRC_PERF_020</v>
      </c>
      <c r="B318" s="61" t="s">
        <v>8477</v>
      </c>
      <c r="C318" s="60" t="n">
        <v>24</v>
      </c>
      <c r="D318" s="92" t="str">
        <f aca="false">SRC_Perf!$O24</f>
        <v>Active</v>
      </c>
      <c r="E318" s="92" t="n">
        <f aca="false">SRC_Perf!$K24</f>
        <v>1</v>
      </c>
      <c r="F318" s="92" t="str">
        <f aca="false">SRC_Perf!$S24</f>
        <v>—</v>
      </c>
    </row>
    <row r="319" customFormat="false" ht="15" hidden="false" customHeight="false" outlineLevel="0" collapsed="false">
      <c r="A319" s="92" t="str">
        <f aca="false">SRC_Perf!$A25&amp;""</f>
        <v>SRC_PERF_021</v>
      </c>
      <c r="B319" s="61" t="s">
        <v>8477</v>
      </c>
      <c r="C319" s="60" t="n">
        <v>25</v>
      </c>
      <c r="D319" s="92" t="str">
        <f aca="false">SRC_Perf!$O25</f>
        <v>Active</v>
      </c>
      <c r="E319" s="92" t="n">
        <f aca="false">SRC_Perf!$K25</f>
        <v>1</v>
      </c>
      <c r="F319" s="92" t="str">
        <f aca="false">SRC_Perf!$S25</f>
        <v>—</v>
      </c>
    </row>
    <row r="320" customFormat="false" ht="15" hidden="false" customHeight="false" outlineLevel="0" collapsed="false">
      <c r="A320" s="92" t="str">
        <f aca="false">SRC_Perf!$A26&amp;""</f>
        <v>SRC_PERF_022</v>
      </c>
      <c r="B320" s="61" t="s">
        <v>8477</v>
      </c>
      <c r="C320" s="60" t="n">
        <v>26</v>
      </c>
      <c r="D320" s="92" t="str">
        <f aca="false">SRC_Perf!$O26</f>
        <v>Active</v>
      </c>
      <c r="E320" s="92" t="n">
        <f aca="false">SRC_Perf!$K26</f>
        <v>1</v>
      </c>
      <c r="F320" s="92" t="str">
        <f aca="false">SRC_Perf!$S26</f>
        <v>—</v>
      </c>
    </row>
    <row r="321" customFormat="false" ht="15" hidden="false" customHeight="false" outlineLevel="0" collapsed="false">
      <c r="A321" s="92" t="str">
        <f aca="false">SRC_Perf!$A27&amp;""</f>
        <v>SRC_PERF_023</v>
      </c>
      <c r="B321" s="61" t="s">
        <v>8477</v>
      </c>
      <c r="C321" s="60" t="n">
        <v>27</v>
      </c>
      <c r="D321" s="92" t="str">
        <f aca="false">SRC_Perf!$O27</f>
        <v>Active</v>
      </c>
      <c r="E321" s="92" t="n">
        <f aca="false">SRC_Perf!$K27</f>
        <v>3</v>
      </c>
      <c r="F321" s="92" t="str">
        <f aca="false">SRC_Perf!$S27</f>
        <v>—</v>
      </c>
    </row>
    <row r="322" customFormat="false" ht="15" hidden="false" customHeight="false" outlineLevel="0" collapsed="false">
      <c r="A322" s="92" t="str">
        <f aca="false">SRC_Perf!$A28&amp;""</f>
        <v>SRC_PERF_024</v>
      </c>
      <c r="B322" s="61" t="s">
        <v>8477</v>
      </c>
      <c r="C322" s="60" t="n">
        <v>28</v>
      </c>
      <c r="D322" s="92" t="str">
        <f aca="false">SRC_Perf!$O28</f>
        <v>Active</v>
      </c>
      <c r="E322" s="92" t="n">
        <f aca="false">SRC_Perf!$K28</f>
        <v>2</v>
      </c>
      <c r="F322" s="92" t="str">
        <f aca="false">SRC_Perf!$S28</f>
        <v>—</v>
      </c>
    </row>
    <row r="323" customFormat="false" ht="15" hidden="false" customHeight="false" outlineLevel="0" collapsed="false">
      <c r="A323" s="92" t="str">
        <f aca="false">SRC_Perf!$A29&amp;""</f>
        <v>SRC_PERF_025</v>
      </c>
      <c r="B323" s="61" t="s">
        <v>8477</v>
      </c>
      <c r="C323" s="60" t="n">
        <v>29</v>
      </c>
      <c r="D323" s="92" t="str">
        <f aca="false">SRC_Perf!$O29</f>
        <v>Active</v>
      </c>
      <c r="E323" s="92" t="n">
        <f aca="false">SRC_Perf!$K29</f>
        <v>2</v>
      </c>
      <c r="F323" s="92" t="str">
        <f aca="false">SRC_Perf!$S29</f>
        <v>—</v>
      </c>
    </row>
    <row r="324" customFormat="false" ht="15" hidden="false" customHeight="false" outlineLevel="0" collapsed="false">
      <c r="A324" s="92" t="str">
        <f aca="false">SRC_Perf!$A30&amp;""</f>
        <v>SRC_PERF_026</v>
      </c>
      <c r="B324" s="61" t="s">
        <v>8477</v>
      </c>
      <c r="C324" s="60" t="n">
        <v>30</v>
      </c>
      <c r="D324" s="92" t="str">
        <f aca="false">SRC_Perf!$O30</f>
        <v>Active</v>
      </c>
      <c r="E324" s="92" t="n">
        <f aca="false">SRC_Perf!$K30</f>
        <v>2</v>
      </c>
      <c r="F324" s="92" t="str">
        <f aca="false">SRC_Perf!$S30</f>
        <v>—</v>
      </c>
    </row>
    <row r="325" customFormat="false" ht="15" hidden="false" customHeight="false" outlineLevel="0" collapsed="false">
      <c r="A325" s="92" t="str">
        <f aca="false">SRC_Perf!$A31&amp;""</f>
        <v>SRC_PERF_027</v>
      </c>
      <c r="B325" s="61" t="s">
        <v>8477</v>
      </c>
      <c r="C325" s="60" t="n">
        <v>31</v>
      </c>
      <c r="D325" s="92" t="str">
        <f aca="false">SRC_Perf!$O31</f>
        <v>Active</v>
      </c>
      <c r="E325" s="92" t="n">
        <f aca="false">SRC_Perf!$K31</f>
        <v>1</v>
      </c>
      <c r="F325" s="92" t="str">
        <f aca="false">SRC_Perf!$S31</f>
        <v>2026-10-06</v>
      </c>
    </row>
    <row r="326" customFormat="false" ht="15" hidden="false" customHeight="false" outlineLevel="0" collapsed="false">
      <c r="A326" s="92" t="str">
        <f aca="false">SRC_Perf!$A32&amp;""</f>
        <v>SRC_PERF_028</v>
      </c>
      <c r="B326" s="61" t="s">
        <v>8477</v>
      </c>
      <c r="C326" s="60" t="n">
        <v>32</v>
      </c>
      <c r="D326" s="92" t="str">
        <f aca="false">SRC_Perf!$O32</f>
        <v>Active</v>
      </c>
      <c r="E326" s="92" t="n">
        <f aca="false">SRC_Perf!$K32</f>
        <v>1</v>
      </c>
      <c r="F326" s="92" t="str">
        <f aca="false">SRC_Perf!$S32</f>
        <v>2026-10-06</v>
      </c>
    </row>
    <row r="327" customFormat="false" ht="15" hidden="false" customHeight="false" outlineLevel="0" collapsed="false">
      <c r="A327" s="92" t="str">
        <f aca="false">SRC_Perf!$A33&amp;""</f>
        <v>SRC_PERF_029</v>
      </c>
      <c r="B327" s="61" t="s">
        <v>8477</v>
      </c>
      <c r="C327" s="60" t="n">
        <v>33</v>
      </c>
      <c r="D327" s="92" t="str">
        <f aca="false">SRC_Perf!$O33</f>
        <v>Active</v>
      </c>
      <c r="E327" s="92" t="n">
        <f aca="false">SRC_Perf!$K33</f>
        <v>1</v>
      </c>
      <c r="F327" s="92" t="str">
        <f aca="false">SRC_Perf!$S33</f>
        <v>—</v>
      </c>
    </row>
    <row r="328" customFormat="false" ht="15" hidden="false" customHeight="false" outlineLevel="0" collapsed="false">
      <c r="A328" s="92" t="str">
        <f aca="false">SRC_Perf!$A34&amp;""</f>
        <v>SRC_PERF_030</v>
      </c>
      <c r="B328" s="61" t="s">
        <v>8477</v>
      </c>
      <c r="C328" s="60" t="n">
        <v>34</v>
      </c>
      <c r="D328" s="92" t="str">
        <f aca="false">SRC_Perf!$O34</f>
        <v>Active</v>
      </c>
      <c r="E328" s="92" t="n">
        <f aca="false">SRC_Perf!$K34</f>
        <v>1</v>
      </c>
      <c r="F328" s="92" t="str">
        <f aca="false">SRC_Perf!$S34</f>
        <v>—</v>
      </c>
    </row>
    <row r="329" customFormat="false" ht="15" hidden="false" customHeight="false" outlineLevel="0" collapsed="false">
      <c r="A329" s="92" t="str">
        <f aca="false">SRC_Perf!$A35&amp;""</f>
        <v>SRC_PERF_031</v>
      </c>
      <c r="B329" s="61" t="s">
        <v>8477</v>
      </c>
      <c r="C329" s="60" t="n">
        <v>35</v>
      </c>
      <c r="D329" s="92" t="str">
        <f aca="false">SRC_Perf!$O35</f>
        <v>Active</v>
      </c>
      <c r="E329" s="92" t="n">
        <f aca="false">SRC_Perf!$K35</f>
        <v>1</v>
      </c>
      <c r="F329" s="92" t="str">
        <f aca="false">SRC_Perf!$S35</f>
        <v>—</v>
      </c>
    </row>
    <row r="330" customFormat="false" ht="15" hidden="false" customHeight="false" outlineLevel="0" collapsed="false">
      <c r="A330" s="92" t="str">
        <f aca="false">SRC_Perf!$A36&amp;""</f>
        <v>SRC_PERF_032</v>
      </c>
      <c r="B330" s="61" t="s">
        <v>8477</v>
      </c>
      <c r="C330" s="60" t="n">
        <v>36</v>
      </c>
      <c r="D330" s="92" t="str">
        <f aca="false">SRC_Perf!$O36</f>
        <v>Active</v>
      </c>
      <c r="E330" s="92" t="n">
        <f aca="false">SRC_Perf!$K36</f>
        <v>1</v>
      </c>
      <c r="F330" s="92" t="str">
        <f aca="false">SRC_Perf!$S36</f>
        <v>—</v>
      </c>
    </row>
    <row r="331" customFormat="false" ht="15" hidden="false" customHeight="false" outlineLevel="0" collapsed="false">
      <c r="A331" s="92" t="str">
        <f aca="false">SRC_Perf!$A37&amp;""</f>
        <v>SRC_PERF_033</v>
      </c>
      <c r="B331" s="61" t="s">
        <v>8477</v>
      </c>
      <c r="C331" s="60" t="n">
        <v>37</v>
      </c>
      <c r="D331" s="92" t="str">
        <f aca="false">SRC_Perf!$O37</f>
        <v>Active</v>
      </c>
      <c r="E331" s="92" t="n">
        <f aca="false">SRC_Perf!$K37</f>
        <v>1</v>
      </c>
      <c r="F331" s="92" t="str">
        <f aca="false">SRC_Perf!$S37</f>
        <v>—</v>
      </c>
    </row>
    <row r="332" customFormat="false" ht="15" hidden="false" customHeight="false" outlineLevel="0" collapsed="false">
      <c r="A332" s="92" t="str">
        <f aca="false">SRC_Perf!$A38&amp;""</f>
        <v>SRC_PERF_034</v>
      </c>
      <c r="B332" s="61" t="s">
        <v>8477</v>
      </c>
      <c r="C332" s="60" t="n">
        <v>38</v>
      </c>
      <c r="D332" s="92" t="str">
        <f aca="false">SRC_Perf!$O38</f>
        <v>Active</v>
      </c>
      <c r="E332" s="92" t="n">
        <f aca="false">SRC_Perf!$K38</f>
        <v>1</v>
      </c>
      <c r="F332" s="92" t="str">
        <f aca="false">SRC_Perf!$S38</f>
        <v>—</v>
      </c>
    </row>
    <row r="333" customFormat="false" ht="15" hidden="false" customHeight="false" outlineLevel="0" collapsed="false">
      <c r="A333" s="92" t="str">
        <f aca="false">SRC_Perf!$A39&amp;""</f>
        <v>SRC_PERF_035</v>
      </c>
      <c r="B333" s="61" t="s">
        <v>8477</v>
      </c>
      <c r="C333" s="60" t="n">
        <v>39</v>
      </c>
      <c r="D333" s="92" t="str">
        <f aca="false">SRC_Perf!$O39</f>
        <v>Active</v>
      </c>
      <c r="E333" s="92" t="n">
        <f aca="false">SRC_Perf!$K39</f>
        <v>1</v>
      </c>
      <c r="F333" s="92" t="str">
        <f aca="false">SRC_Perf!$S39</f>
        <v>—</v>
      </c>
    </row>
    <row r="334" customFormat="false" ht="15" hidden="false" customHeight="false" outlineLevel="0" collapsed="false">
      <c r="A334" s="92" t="str">
        <f aca="false">SRC_Perf!$A40&amp;""</f>
        <v>SRC_PERF_036</v>
      </c>
      <c r="B334" s="61" t="s">
        <v>8477</v>
      </c>
      <c r="C334" s="60" t="n">
        <v>40</v>
      </c>
      <c r="D334" s="92" t="str">
        <f aca="false">SRC_Perf!$O40</f>
        <v>Active</v>
      </c>
      <c r="E334" s="92" t="n">
        <f aca="false">SRC_Perf!$K40</f>
        <v>1</v>
      </c>
      <c r="F334" s="92" t="str">
        <f aca="false">SRC_Perf!$S40</f>
        <v>2026-10-05</v>
      </c>
    </row>
    <row r="335" customFormat="false" ht="15" hidden="false" customHeight="false" outlineLevel="0" collapsed="false">
      <c r="A335" s="92" t="str">
        <f aca="false">SRC_Perf!$A41&amp;""</f>
        <v>SRC_PERF_037</v>
      </c>
      <c r="B335" s="61" t="s">
        <v>8477</v>
      </c>
      <c r="C335" s="60" t="n">
        <v>41</v>
      </c>
      <c r="D335" s="92" t="str">
        <f aca="false">SRC_Perf!$O41</f>
        <v>Active</v>
      </c>
      <c r="E335" s="92" t="n">
        <f aca="false">SRC_Perf!$K41</f>
        <v>1</v>
      </c>
      <c r="F335" s="92" t="str">
        <f aca="false">SRC_Perf!$S41</f>
        <v>2026-10-05</v>
      </c>
    </row>
    <row r="336" customFormat="false" ht="15" hidden="false" customHeight="false" outlineLevel="0" collapsed="false">
      <c r="A336" s="92" t="str">
        <f aca="false">SRC_Perf!$A42&amp;""</f>
        <v>SRC_PERF_038</v>
      </c>
      <c r="B336" s="61" t="s">
        <v>8477</v>
      </c>
      <c r="C336" s="60" t="n">
        <v>42</v>
      </c>
      <c r="D336" s="92" t="str">
        <f aca="false">SRC_Perf!$O42</f>
        <v>Active</v>
      </c>
      <c r="E336" s="92" t="n">
        <f aca="false">SRC_Perf!$K42</f>
        <v>1</v>
      </c>
      <c r="F336" s="92" t="str">
        <f aca="false">SRC_Perf!$S42</f>
        <v>—</v>
      </c>
    </row>
    <row r="337" customFormat="false" ht="15" hidden="false" customHeight="false" outlineLevel="0" collapsed="false">
      <c r="A337" s="92" t="str">
        <f aca="false">SRC_Perf!$A43&amp;""</f>
        <v>SRC_PERF_039</v>
      </c>
      <c r="B337" s="61" t="s">
        <v>8477</v>
      </c>
      <c r="C337" s="60" t="n">
        <v>43</v>
      </c>
      <c r="D337" s="92" t="str">
        <f aca="false">SRC_Perf!$O43</f>
        <v>Active</v>
      </c>
      <c r="E337" s="92" t="n">
        <f aca="false">SRC_Perf!$K43</f>
        <v>1</v>
      </c>
      <c r="F337" s="92" t="str">
        <f aca="false">SRC_Perf!$S43</f>
        <v>—</v>
      </c>
    </row>
    <row r="338" customFormat="false" ht="15" hidden="false" customHeight="false" outlineLevel="0" collapsed="false">
      <c r="A338" s="92" t="str">
        <f aca="false">SRC_Perf!$A44&amp;""</f>
        <v>SRC_PERF_040</v>
      </c>
      <c r="B338" s="61" t="s">
        <v>8477</v>
      </c>
      <c r="C338" s="60" t="n">
        <v>44</v>
      </c>
      <c r="D338" s="92" t="str">
        <f aca="false">SRC_Perf!$O44</f>
        <v>Active</v>
      </c>
      <c r="E338" s="92" t="n">
        <f aca="false">SRC_Perf!$K44</f>
        <v>1</v>
      </c>
      <c r="F338" s="92" t="str">
        <f aca="false">SRC_Perf!$S44</f>
        <v>—</v>
      </c>
    </row>
    <row r="339" customFormat="false" ht="15" hidden="false" customHeight="false" outlineLevel="0" collapsed="false">
      <c r="A339" s="92" t="str">
        <f aca="false">SRC_Perf!$A45&amp;""</f>
        <v>SRC_PERF_041</v>
      </c>
      <c r="B339" s="61" t="s">
        <v>8477</v>
      </c>
      <c r="C339" s="60" t="n">
        <v>45</v>
      </c>
      <c r="D339" s="92" t="str">
        <f aca="false">SRC_Perf!$O45</f>
        <v>Active</v>
      </c>
      <c r="E339" s="92" t="n">
        <f aca="false">SRC_Perf!$K45</f>
        <v>1</v>
      </c>
      <c r="F339" s="92" t="str">
        <f aca="false">SRC_Perf!$S45</f>
        <v>—</v>
      </c>
    </row>
    <row r="340" customFormat="false" ht="15" hidden="false" customHeight="false" outlineLevel="0" collapsed="false">
      <c r="A340" s="92" t="str">
        <f aca="false">SRC_Perf!$A46&amp;""</f>
        <v>SRC_PERF_042</v>
      </c>
      <c r="B340" s="61" t="s">
        <v>8477</v>
      </c>
      <c r="C340" s="60" t="n">
        <v>46</v>
      </c>
      <c r="D340" s="92" t="str">
        <f aca="false">SRC_Perf!$O46</f>
        <v>Active</v>
      </c>
      <c r="E340" s="92" t="n">
        <f aca="false">SRC_Perf!$K46</f>
        <v>1</v>
      </c>
      <c r="F340" s="92" t="str">
        <f aca="false">SRC_Perf!$S46</f>
        <v>—</v>
      </c>
    </row>
    <row r="341" customFormat="false" ht="15" hidden="false" customHeight="false" outlineLevel="0" collapsed="false">
      <c r="A341" s="92" t="str">
        <f aca="false">SRC_Perf!$A47&amp;""</f>
        <v>SRC_PERF_043</v>
      </c>
      <c r="B341" s="61" t="s">
        <v>8477</v>
      </c>
      <c r="C341" s="60" t="n">
        <v>47</v>
      </c>
      <c r="D341" s="92" t="str">
        <f aca="false">SRC_Perf!$O47</f>
        <v>Active</v>
      </c>
      <c r="E341" s="92" t="n">
        <f aca="false">SRC_Perf!$K47</f>
        <v>1</v>
      </c>
      <c r="F341" s="92" t="str">
        <f aca="false">SRC_Perf!$S47</f>
        <v>—</v>
      </c>
    </row>
    <row r="342" customFormat="false" ht="15" hidden="false" customHeight="false" outlineLevel="0" collapsed="false">
      <c r="A342" s="92" t="str">
        <f aca="false">SRC_Perf!$A48&amp;""</f>
        <v>SRC_PERF_044</v>
      </c>
      <c r="B342" s="61" t="s">
        <v>8477</v>
      </c>
      <c r="C342" s="60" t="n">
        <v>48</v>
      </c>
      <c r="D342" s="92" t="str">
        <f aca="false">SRC_Perf!$O48</f>
        <v>Active</v>
      </c>
      <c r="E342" s="92" t="n">
        <f aca="false">SRC_Perf!$K48</f>
        <v>1</v>
      </c>
      <c r="F342" s="92" t="str">
        <f aca="false">SRC_Perf!$S48</f>
        <v>—</v>
      </c>
    </row>
    <row r="343" customFormat="false" ht="15" hidden="false" customHeight="false" outlineLevel="0" collapsed="false">
      <c r="A343" s="92" t="str">
        <f aca="false">SRC_Perf!$A49&amp;""</f>
        <v>SRC_PERF_045</v>
      </c>
      <c r="B343" s="61" t="s">
        <v>8477</v>
      </c>
      <c r="C343" s="60" t="n">
        <v>49</v>
      </c>
      <c r="D343" s="92" t="str">
        <f aca="false">SRC_Perf!$O49</f>
        <v>Active</v>
      </c>
      <c r="E343" s="92" t="n">
        <f aca="false">SRC_Perf!$K49</f>
        <v>1</v>
      </c>
      <c r="F343" s="92" t="str">
        <f aca="false">SRC_Perf!$S49</f>
        <v>—</v>
      </c>
    </row>
    <row r="344" customFormat="false" ht="15" hidden="false" customHeight="false" outlineLevel="0" collapsed="false">
      <c r="A344" s="92" t="str">
        <f aca="false">SRC_Perf!$A50&amp;""</f>
        <v>SRC_PERF_046</v>
      </c>
      <c r="B344" s="61" t="s">
        <v>8477</v>
      </c>
      <c r="C344" s="60" t="n">
        <v>50</v>
      </c>
      <c r="D344" s="92" t="str">
        <f aca="false">SRC_Perf!$O50</f>
        <v>Active</v>
      </c>
      <c r="E344" s="92" t="n">
        <f aca="false">SRC_Perf!$K50</f>
        <v>1</v>
      </c>
      <c r="F344" s="92" t="str">
        <f aca="false">SRC_Perf!$S50</f>
        <v>—</v>
      </c>
    </row>
    <row r="345" customFormat="false" ht="15" hidden="false" customHeight="false" outlineLevel="0" collapsed="false">
      <c r="A345" s="92" t="str">
        <f aca="false">SRC_Perf!$A51&amp;""</f>
        <v>SRC_PERF_047</v>
      </c>
      <c r="B345" s="61" t="s">
        <v>8477</v>
      </c>
      <c r="C345" s="60" t="n">
        <v>51</v>
      </c>
      <c r="D345" s="92" t="str">
        <f aca="false">SRC_Perf!$O51</f>
        <v>Active</v>
      </c>
      <c r="E345" s="92" t="n">
        <f aca="false">SRC_Perf!$K51</f>
        <v>1</v>
      </c>
      <c r="F345" s="92" t="str">
        <f aca="false">SRC_Perf!$S51</f>
        <v>—</v>
      </c>
    </row>
    <row r="346" customFormat="false" ht="15" hidden="false" customHeight="false" outlineLevel="0" collapsed="false">
      <c r="A346" s="92" t="str">
        <f aca="false">SRC_Perf!$A52&amp;""</f>
        <v>SRC_PERF_048</v>
      </c>
      <c r="B346" s="61" t="s">
        <v>8477</v>
      </c>
      <c r="C346" s="60" t="n">
        <v>52</v>
      </c>
      <c r="D346" s="92" t="str">
        <f aca="false">SRC_Perf!$O52</f>
        <v>Active</v>
      </c>
      <c r="E346" s="92" t="n">
        <f aca="false">SRC_Perf!$K52</f>
        <v>1</v>
      </c>
      <c r="F346" s="92" t="str">
        <f aca="false">SRC_Perf!$S52</f>
        <v>—</v>
      </c>
    </row>
    <row r="347" customFormat="false" ht="15" hidden="false" customHeight="false" outlineLevel="0" collapsed="false">
      <c r="A347" s="92" t="str">
        <f aca="false">SRC_Perf!$A53&amp;""</f>
        <v>SRC_PERF_049</v>
      </c>
      <c r="B347" s="61" t="s">
        <v>8477</v>
      </c>
      <c r="C347" s="60" t="n">
        <v>53</v>
      </c>
      <c r="D347" s="92" t="str">
        <f aca="false">SRC_Perf!$O53</f>
        <v>Active</v>
      </c>
      <c r="E347" s="92" t="n">
        <f aca="false">SRC_Perf!$K53</f>
        <v>1</v>
      </c>
      <c r="F347" s="92" t="str">
        <f aca="false">SRC_Perf!$S53</f>
        <v>—</v>
      </c>
    </row>
    <row r="348" customFormat="false" ht="15" hidden="false" customHeight="false" outlineLevel="0" collapsed="false">
      <c r="A348" s="92" t="str">
        <f aca="false">SRC_Perf!$A54&amp;""</f>
        <v>SRC_PERF_050</v>
      </c>
      <c r="B348" s="61" t="s">
        <v>8477</v>
      </c>
      <c r="C348" s="60" t="n">
        <v>54</v>
      </c>
      <c r="D348" s="92" t="str">
        <f aca="false">SRC_Perf!$O54</f>
        <v>Active</v>
      </c>
      <c r="E348" s="92" t="n">
        <f aca="false">SRC_Perf!$K54</f>
        <v>1</v>
      </c>
      <c r="F348" s="92" t="str">
        <f aca="false">SRC_Perf!$S54</f>
        <v>—</v>
      </c>
    </row>
    <row r="349" customFormat="false" ht="15" hidden="false" customHeight="false" outlineLevel="0" collapsed="false">
      <c r="A349" s="92" t="str">
        <f aca="false">SRC_Perf!$A55&amp;""</f>
        <v>SRC_PERF_051</v>
      </c>
      <c r="B349" s="61" t="s">
        <v>8477</v>
      </c>
      <c r="C349" s="60" t="n">
        <v>55</v>
      </c>
      <c r="D349" s="92" t="str">
        <f aca="false">SRC_Perf!$O55</f>
        <v>Active</v>
      </c>
      <c r="E349" s="92" t="n">
        <f aca="false">SRC_Perf!$K55</f>
        <v>1</v>
      </c>
      <c r="F349" s="92" t="str">
        <f aca="false">SRC_Perf!$S55</f>
        <v>—</v>
      </c>
    </row>
    <row r="350" customFormat="false" ht="15" hidden="false" customHeight="false" outlineLevel="0" collapsed="false">
      <c r="A350" s="92" t="str">
        <f aca="false">SRC_Perf!$A56&amp;""</f>
        <v>SRC_PERF_052</v>
      </c>
      <c r="B350" s="61" t="s">
        <v>8477</v>
      </c>
      <c r="C350" s="60" t="n">
        <v>56</v>
      </c>
      <c r="D350" s="92" t="str">
        <f aca="false">SRC_Perf!$O56</f>
        <v>Active</v>
      </c>
      <c r="E350" s="92" t="n">
        <f aca="false">SRC_Perf!$K56</f>
        <v>1</v>
      </c>
      <c r="F350" s="92" t="str">
        <f aca="false">SRC_Perf!$S56</f>
        <v>—</v>
      </c>
    </row>
    <row r="351" customFormat="false" ht="15" hidden="false" customHeight="false" outlineLevel="0" collapsed="false">
      <c r="A351" s="92" t="str">
        <f aca="false">SRC_Perf!$A57&amp;""</f>
        <v>SRC_PERF_053</v>
      </c>
      <c r="B351" s="61" t="s">
        <v>8477</v>
      </c>
      <c r="C351" s="60" t="n">
        <v>57</v>
      </c>
      <c r="D351" s="92" t="str">
        <f aca="false">SRC_Perf!$O57</f>
        <v>Active</v>
      </c>
      <c r="E351" s="92" t="n">
        <f aca="false">SRC_Perf!$K57</f>
        <v>1</v>
      </c>
      <c r="F351" s="92" t="str">
        <f aca="false">SRC_Perf!$S57</f>
        <v>—</v>
      </c>
    </row>
    <row r="352" customFormat="false" ht="15" hidden="false" customHeight="false" outlineLevel="0" collapsed="false">
      <c r="A352" s="92" t="str">
        <f aca="false">SRC_Perf!$A58&amp;""</f>
        <v>SRC_PERF_054</v>
      </c>
      <c r="B352" s="61" t="s">
        <v>8477</v>
      </c>
      <c r="C352" s="60" t="n">
        <v>58</v>
      </c>
      <c r="D352" s="92" t="str">
        <f aca="false">SRC_Perf!$O58</f>
        <v>Active</v>
      </c>
      <c r="E352" s="92" t="n">
        <f aca="false">SRC_Perf!$K58</f>
        <v>1</v>
      </c>
      <c r="F352" s="92" t="str">
        <f aca="false">SRC_Perf!$S58</f>
        <v>—</v>
      </c>
    </row>
    <row r="353" customFormat="false" ht="15" hidden="false" customHeight="false" outlineLevel="0" collapsed="false">
      <c r="A353" s="92" t="str">
        <f aca="false">SRC_Perf!$A59&amp;""</f>
        <v>SRC_PERF_055</v>
      </c>
      <c r="B353" s="61" t="s">
        <v>8477</v>
      </c>
      <c r="C353" s="60" t="n">
        <v>59</v>
      </c>
      <c r="D353" s="92" t="str">
        <f aca="false">SRC_Perf!$O59</f>
        <v>Active</v>
      </c>
      <c r="E353" s="92" t="n">
        <f aca="false">SRC_Perf!$K59</f>
        <v>1</v>
      </c>
      <c r="F353" s="92" t="str">
        <f aca="false">SRC_Perf!$S59</f>
        <v>—</v>
      </c>
    </row>
    <row r="354" customFormat="false" ht="15" hidden="false" customHeight="false" outlineLevel="0" collapsed="false">
      <c r="A354" s="92" t="str">
        <f aca="false">SRC_Perf!$A60&amp;""</f>
        <v>SRC_PERF_056</v>
      </c>
      <c r="B354" s="61" t="s">
        <v>8477</v>
      </c>
      <c r="C354" s="60" t="n">
        <v>60</v>
      </c>
      <c r="D354" s="92" t="str">
        <f aca="false">SRC_Perf!$O60</f>
        <v>Active</v>
      </c>
      <c r="E354" s="92" t="n">
        <f aca="false">SRC_Perf!$K60</f>
        <v>1</v>
      </c>
      <c r="F354" s="92" t="str">
        <f aca="false">SRC_Perf!$S60</f>
        <v>—</v>
      </c>
    </row>
    <row r="355" customFormat="false" ht="15" hidden="false" customHeight="false" outlineLevel="0" collapsed="false">
      <c r="A355" s="92" t="str">
        <f aca="false">SRC_Perf!$A61&amp;""</f>
        <v>SRC_PERF_057</v>
      </c>
      <c r="B355" s="61" t="s">
        <v>8477</v>
      </c>
      <c r="C355" s="60" t="n">
        <v>61</v>
      </c>
      <c r="D355" s="92" t="str">
        <f aca="false">SRC_Perf!$O61</f>
        <v>Active</v>
      </c>
      <c r="E355" s="92" t="n">
        <f aca="false">SRC_Perf!$K61</f>
        <v>1</v>
      </c>
      <c r="F355" s="92" t="str">
        <f aca="false">SRC_Perf!$S61</f>
        <v>—</v>
      </c>
    </row>
    <row r="356" customFormat="false" ht="15" hidden="false" customHeight="false" outlineLevel="0" collapsed="false">
      <c r="A356" s="92" t="str">
        <f aca="false">SRC_Perf!$A62&amp;""</f>
        <v>SRC_PERF_058</v>
      </c>
      <c r="B356" s="61" t="s">
        <v>8477</v>
      </c>
      <c r="C356" s="60" t="n">
        <v>62</v>
      </c>
      <c r="D356" s="92" t="str">
        <f aca="false">SRC_Perf!$O62</f>
        <v>Active</v>
      </c>
      <c r="E356" s="92" t="n">
        <f aca="false">SRC_Perf!$K62</f>
        <v>1</v>
      </c>
      <c r="F356" s="92" t="str">
        <f aca="false">SRC_Perf!$S62</f>
        <v>—</v>
      </c>
    </row>
    <row r="357" customFormat="false" ht="15" hidden="false" customHeight="false" outlineLevel="0" collapsed="false">
      <c r="A357" s="92" t="str">
        <f aca="false">SRC_Perf!$A63&amp;""</f>
        <v>SRC_PERF_059</v>
      </c>
      <c r="B357" s="61" t="s">
        <v>8477</v>
      </c>
      <c r="C357" s="60" t="n">
        <v>63</v>
      </c>
      <c r="D357" s="92" t="str">
        <f aca="false">SRC_Perf!$O63</f>
        <v>Active</v>
      </c>
      <c r="E357" s="92" t="n">
        <f aca="false">SRC_Perf!$K63</f>
        <v>1</v>
      </c>
      <c r="F357" s="92" t="str">
        <f aca="false">SRC_Perf!$S63</f>
        <v>—</v>
      </c>
    </row>
    <row r="358" customFormat="false" ht="15" hidden="false" customHeight="false" outlineLevel="0" collapsed="false">
      <c r="A358" s="92" t="str">
        <f aca="false">SRC_Perf!$A64&amp;""</f>
        <v/>
      </c>
      <c r="B358" s="61" t="s">
        <v>8477</v>
      </c>
      <c r="C358" s="60" t="n">
        <v>64</v>
      </c>
      <c r="D358" s="92" t="n">
        <f aca="false">SRC_Perf!$O64</f>
        <v>0</v>
      </c>
      <c r="E358" s="92" t="n">
        <f aca="false">SRC_Perf!$K64</f>
        <v>0</v>
      </c>
      <c r="F358" s="92" t="n">
        <f aca="false">SRC_Perf!$S64</f>
        <v>0</v>
      </c>
    </row>
    <row r="359" customFormat="false" ht="15" hidden="false" customHeight="false" outlineLevel="0" collapsed="false">
      <c r="A359" s="92" t="str">
        <f aca="false">SRC_Perf!$A65&amp;""</f>
        <v/>
      </c>
      <c r="B359" s="61" t="s">
        <v>8477</v>
      </c>
      <c r="C359" s="60" t="n">
        <v>65</v>
      </c>
      <c r="D359" s="92" t="n">
        <f aca="false">SRC_Perf!$O65</f>
        <v>0</v>
      </c>
      <c r="E359" s="92" t="n">
        <f aca="false">SRC_Perf!$K65</f>
        <v>0</v>
      </c>
      <c r="F359" s="92" t="n">
        <f aca="false">SRC_Perf!$S65</f>
        <v>0</v>
      </c>
    </row>
    <row r="360" customFormat="false" ht="15" hidden="false" customHeight="false" outlineLevel="0" collapsed="false">
      <c r="A360" s="92" t="str">
        <f aca="false">SRC_Perf!$A66&amp;""</f>
        <v/>
      </c>
      <c r="B360" s="61" t="s">
        <v>8477</v>
      </c>
      <c r="C360" s="60" t="n">
        <v>66</v>
      </c>
      <c r="D360" s="92" t="n">
        <f aca="false">SRC_Perf!$O66</f>
        <v>0</v>
      </c>
      <c r="E360" s="92" t="n">
        <f aca="false">SRC_Perf!$K66</f>
        <v>0</v>
      </c>
      <c r="F360" s="92" t="n">
        <f aca="false">SRC_Perf!$S66</f>
        <v>0</v>
      </c>
    </row>
    <row r="361" customFormat="false" ht="15" hidden="false" customHeight="false" outlineLevel="0" collapsed="false">
      <c r="A361" s="92" t="str">
        <f aca="false">SRC_Perf!$A67&amp;""</f>
        <v/>
      </c>
      <c r="B361" s="61" t="s">
        <v>8477</v>
      </c>
      <c r="C361" s="60" t="n">
        <v>67</v>
      </c>
      <c r="D361" s="92" t="n">
        <f aca="false">SRC_Perf!$O67</f>
        <v>0</v>
      </c>
      <c r="E361" s="92" t="n">
        <f aca="false">SRC_Perf!$K67</f>
        <v>0</v>
      </c>
      <c r="F361" s="92" t="n">
        <f aca="false">SRC_Perf!$S67</f>
        <v>0</v>
      </c>
    </row>
    <row r="362" customFormat="false" ht="15" hidden="false" customHeight="false" outlineLevel="0" collapsed="false">
      <c r="A362" s="92" t="str">
        <f aca="false">SRC_Perf!$A68&amp;""</f>
        <v/>
      </c>
      <c r="B362" s="61" t="s">
        <v>8477</v>
      </c>
      <c r="C362" s="60" t="n">
        <v>68</v>
      </c>
      <c r="D362" s="92" t="n">
        <f aca="false">SRC_Perf!$O68</f>
        <v>0</v>
      </c>
      <c r="E362" s="92" t="n">
        <f aca="false">SRC_Perf!$K68</f>
        <v>0</v>
      </c>
      <c r="F362" s="92" t="n">
        <f aca="false">SRC_Perf!$S68</f>
        <v>0</v>
      </c>
    </row>
    <row r="363" customFormat="false" ht="15" hidden="false" customHeight="false" outlineLevel="0" collapsed="false">
      <c r="A363" s="92" t="str">
        <f aca="false">SRC_Perf!$A69&amp;""</f>
        <v/>
      </c>
      <c r="B363" s="61" t="s">
        <v>8477</v>
      </c>
      <c r="C363" s="60" t="n">
        <v>69</v>
      </c>
      <c r="D363" s="92" t="n">
        <f aca="false">SRC_Perf!$O69</f>
        <v>0</v>
      </c>
      <c r="E363" s="92" t="n">
        <f aca="false">SRC_Perf!$K69</f>
        <v>0</v>
      </c>
      <c r="F363" s="92" t="n">
        <f aca="false">SRC_Perf!$S69</f>
        <v>0</v>
      </c>
    </row>
    <row r="364" customFormat="false" ht="15" hidden="false" customHeight="false" outlineLevel="0" collapsed="false">
      <c r="A364" s="92" t="str">
        <f aca="false">SRC_Perf!$A70&amp;""</f>
        <v/>
      </c>
      <c r="B364" s="61" t="s">
        <v>8477</v>
      </c>
      <c r="C364" s="60" t="n">
        <v>70</v>
      </c>
      <c r="D364" s="92" t="n">
        <f aca="false">SRC_Perf!$O70</f>
        <v>0</v>
      </c>
      <c r="E364" s="92" t="n">
        <f aca="false">SRC_Perf!$K70</f>
        <v>0</v>
      </c>
      <c r="F364" s="92" t="n">
        <f aca="false">SRC_Perf!$S70</f>
        <v>0</v>
      </c>
    </row>
    <row r="365" customFormat="false" ht="15" hidden="false" customHeight="false" outlineLevel="0" collapsed="false">
      <c r="A365" s="92" t="str">
        <f aca="false">SRC_Perf!$A71&amp;""</f>
        <v/>
      </c>
      <c r="B365" s="61" t="s">
        <v>8477</v>
      </c>
      <c r="C365" s="60" t="n">
        <v>71</v>
      </c>
      <c r="D365" s="92" t="n">
        <f aca="false">SRC_Perf!$O71</f>
        <v>0</v>
      </c>
      <c r="E365" s="92" t="n">
        <f aca="false">SRC_Perf!$K71</f>
        <v>0</v>
      </c>
      <c r="F365" s="92" t="n">
        <f aca="false">SRC_Perf!$S71</f>
        <v>0</v>
      </c>
    </row>
    <row r="366" customFormat="false" ht="15" hidden="false" customHeight="false" outlineLevel="0" collapsed="false">
      <c r="A366" s="92" t="str">
        <f aca="false">SRC_Perf!$A72&amp;""</f>
        <v/>
      </c>
      <c r="B366" s="61" t="s">
        <v>8477</v>
      </c>
      <c r="C366" s="60" t="n">
        <v>72</v>
      </c>
      <c r="D366" s="92" t="n">
        <f aca="false">SRC_Perf!$O72</f>
        <v>0</v>
      </c>
      <c r="E366" s="92" t="n">
        <f aca="false">SRC_Perf!$K72</f>
        <v>0</v>
      </c>
      <c r="F366" s="92" t="n">
        <f aca="false">SRC_Perf!$S72</f>
        <v>0</v>
      </c>
    </row>
    <row r="367" customFormat="false" ht="15" hidden="false" customHeight="false" outlineLevel="0" collapsed="false">
      <c r="A367" s="92" t="str">
        <f aca="false">SRC_Perf!$A73&amp;""</f>
        <v/>
      </c>
      <c r="B367" s="61" t="s">
        <v>8477</v>
      </c>
      <c r="C367" s="60" t="n">
        <v>73</v>
      </c>
      <c r="D367" s="92" t="n">
        <f aca="false">SRC_Perf!$O73</f>
        <v>0</v>
      </c>
      <c r="E367" s="92" t="n">
        <f aca="false">SRC_Perf!$K73</f>
        <v>0</v>
      </c>
      <c r="F367" s="92" t="n">
        <f aca="false">SRC_Perf!$S73</f>
        <v>0</v>
      </c>
    </row>
    <row r="368" customFormat="false" ht="15" hidden="false" customHeight="false" outlineLevel="0" collapsed="false">
      <c r="A368" s="92" t="str">
        <f aca="false">SRC_Perf!$A74&amp;""</f>
        <v/>
      </c>
      <c r="B368" s="61" t="s">
        <v>8477</v>
      </c>
      <c r="C368" s="60" t="n">
        <v>74</v>
      </c>
      <c r="D368" s="92" t="n">
        <f aca="false">SRC_Perf!$O74</f>
        <v>0</v>
      </c>
      <c r="E368" s="92" t="n">
        <f aca="false">SRC_Perf!$K74</f>
        <v>0</v>
      </c>
      <c r="F368" s="92" t="n">
        <f aca="false">SRC_Perf!$S74</f>
        <v>0</v>
      </c>
    </row>
    <row r="369" customFormat="false" ht="15" hidden="false" customHeight="false" outlineLevel="0" collapsed="false">
      <c r="A369" s="92" t="str">
        <f aca="false">SRC_Perf!$A75&amp;""</f>
        <v/>
      </c>
      <c r="B369" s="61" t="s">
        <v>8477</v>
      </c>
      <c r="C369" s="60" t="n">
        <v>75</v>
      </c>
      <c r="D369" s="92" t="n">
        <f aca="false">SRC_Perf!$O75</f>
        <v>0</v>
      </c>
      <c r="E369" s="92" t="n">
        <f aca="false">SRC_Perf!$K75</f>
        <v>0</v>
      </c>
      <c r="F369" s="92" t="n">
        <f aca="false">SRC_Perf!$S75</f>
        <v>0</v>
      </c>
    </row>
    <row r="370" customFormat="false" ht="15" hidden="false" customHeight="false" outlineLevel="0" collapsed="false">
      <c r="A370" s="92" t="str">
        <f aca="false">SRC_Perf!$A76&amp;""</f>
        <v/>
      </c>
      <c r="B370" s="61" t="s">
        <v>8477</v>
      </c>
      <c r="C370" s="60" t="n">
        <v>76</v>
      </c>
      <c r="D370" s="92" t="n">
        <f aca="false">SRC_Perf!$O76</f>
        <v>0</v>
      </c>
      <c r="E370" s="92" t="n">
        <f aca="false">SRC_Perf!$K76</f>
        <v>0</v>
      </c>
      <c r="F370" s="92" t="n">
        <f aca="false">SRC_Perf!$S76</f>
        <v>0</v>
      </c>
    </row>
    <row r="371" customFormat="false" ht="15" hidden="false" customHeight="false" outlineLevel="0" collapsed="false">
      <c r="A371" s="92" t="str">
        <f aca="false">SRC_Perf!$A77&amp;""</f>
        <v/>
      </c>
      <c r="B371" s="61" t="s">
        <v>8477</v>
      </c>
      <c r="C371" s="60" t="n">
        <v>77</v>
      </c>
      <c r="D371" s="92" t="n">
        <f aca="false">SRC_Perf!$O77</f>
        <v>0</v>
      </c>
      <c r="E371" s="92" t="n">
        <f aca="false">SRC_Perf!$K77</f>
        <v>0</v>
      </c>
      <c r="F371" s="92" t="n">
        <f aca="false">SRC_Perf!$S77</f>
        <v>0</v>
      </c>
    </row>
    <row r="372" customFormat="false" ht="15" hidden="false" customHeight="false" outlineLevel="0" collapsed="false">
      <c r="A372" s="92" t="str">
        <f aca="false">SRC_Perf!$A78&amp;""</f>
        <v/>
      </c>
      <c r="B372" s="61" t="s">
        <v>8477</v>
      </c>
      <c r="C372" s="60" t="n">
        <v>78</v>
      </c>
      <c r="D372" s="92" t="n">
        <f aca="false">SRC_Perf!$O78</f>
        <v>0</v>
      </c>
      <c r="E372" s="92" t="n">
        <f aca="false">SRC_Perf!$K78</f>
        <v>0</v>
      </c>
      <c r="F372" s="92" t="n">
        <f aca="false">SRC_Perf!$S78</f>
        <v>0</v>
      </c>
    </row>
    <row r="373" customFormat="false" ht="15" hidden="false" customHeight="false" outlineLevel="0" collapsed="false">
      <c r="A373" s="92" t="str">
        <f aca="false">SRC_Perf!$A79&amp;""</f>
        <v/>
      </c>
      <c r="B373" s="61" t="s">
        <v>8477</v>
      </c>
      <c r="C373" s="60" t="n">
        <v>79</v>
      </c>
      <c r="D373" s="92" t="n">
        <f aca="false">SRC_Perf!$O79</f>
        <v>0</v>
      </c>
      <c r="E373" s="92" t="n">
        <f aca="false">SRC_Perf!$K79</f>
        <v>0</v>
      </c>
      <c r="F373" s="92" t="n">
        <f aca="false">SRC_Perf!$S79</f>
        <v>0</v>
      </c>
    </row>
    <row r="374" customFormat="false" ht="15" hidden="false" customHeight="false" outlineLevel="0" collapsed="false">
      <c r="A374" s="92" t="str">
        <f aca="false">SRC_Perf!$A80&amp;""</f>
        <v/>
      </c>
      <c r="B374" s="61" t="s">
        <v>8477</v>
      </c>
      <c r="C374" s="60" t="n">
        <v>80</v>
      </c>
      <c r="D374" s="92" t="n">
        <f aca="false">SRC_Perf!$O80</f>
        <v>0</v>
      </c>
      <c r="E374" s="92" t="n">
        <f aca="false">SRC_Perf!$K80</f>
        <v>0</v>
      </c>
      <c r="F374" s="92" t="n">
        <f aca="false">SRC_Perf!$S80</f>
        <v>0</v>
      </c>
    </row>
    <row r="375" customFormat="false" ht="15" hidden="false" customHeight="false" outlineLevel="0" collapsed="false">
      <c r="A375" s="92" t="str">
        <f aca="false">SRC_Perf!$A81&amp;""</f>
        <v/>
      </c>
      <c r="B375" s="61" t="s">
        <v>8477</v>
      </c>
      <c r="C375" s="60" t="n">
        <v>81</v>
      </c>
      <c r="D375" s="92" t="n">
        <f aca="false">SRC_Perf!$O81</f>
        <v>0</v>
      </c>
      <c r="E375" s="92" t="n">
        <f aca="false">SRC_Perf!$K81</f>
        <v>0</v>
      </c>
      <c r="F375" s="92" t="n">
        <f aca="false">SRC_Perf!$S81</f>
        <v>0</v>
      </c>
    </row>
    <row r="376" customFormat="false" ht="15" hidden="false" customHeight="false" outlineLevel="0" collapsed="false">
      <c r="A376" s="92" t="str">
        <f aca="false">SRC_Perf!$A82&amp;""</f>
        <v/>
      </c>
      <c r="B376" s="61" t="s">
        <v>8477</v>
      </c>
      <c r="C376" s="60" t="n">
        <v>82</v>
      </c>
      <c r="D376" s="92" t="n">
        <f aca="false">SRC_Perf!$O82</f>
        <v>0</v>
      </c>
      <c r="E376" s="92" t="n">
        <f aca="false">SRC_Perf!$K82</f>
        <v>0</v>
      </c>
      <c r="F376" s="92" t="n">
        <f aca="false">SRC_Perf!$S82</f>
        <v>0</v>
      </c>
    </row>
    <row r="377" customFormat="false" ht="15" hidden="false" customHeight="false" outlineLevel="0" collapsed="false">
      <c r="A377" s="92" t="str">
        <f aca="false">SRC_Perf!$A83&amp;""</f>
        <v/>
      </c>
      <c r="B377" s="61" t="s">
        <v>8477</v>
      </c>
      <c r="C377" s="60" t="n">
        <v>83</v>
      </c>
      <c r="D377" s="92" t="n">
        <f aca="false">SRC_Perf!$O83</f>
        <v>0</v>
      </c>
      <c r="E377" s="92" t="n">
        <f aca="false">SRC_Perf!$K83</f>
        <v>0</v>
      </c>
      <c r="F377" s="92" t="n">
        <f aca="false">SRC_Perf!$S83</f>
        <v>0</v>
      </c>
    </row>
    <row r="378" customFormat="false" ht="15" hidden="false" customHeight="false" outlineLevel="0" collapsed="false">
      <c r="A378" s="92" t="str">
        <f aca="false">SRC_Perf!$A84&amp;""</f>
        <v/>
      </c>
      <c r="B378" s="61" t="s">
        <v>8477</v>
      </c>
      <c r="C378" s="60" t="n">
        <v>84</v>
      </c>
      <c r="D378" s="92" t="n">
        <f aca="false">SRC_Perf!$O84</f>
        <v>0</v>
      </c>
      <c r="E378" s="92" t="n">
        <f aca="false">SRC_Perf!$K84</f>
        <v>0</v>
      </c>
      <c r="F378" s="92" t="n">
        <f aca="false">SRC_Perf!$S84</f>
        <v>0</v>
      </c>
    </row>
    <row r="379" customFormat="false" ht="15" hidden="false" customHeight="false" outlineLevel="0" collapsed="false">
      <c r="A379" s="92" t="str">
        <f aca="false">SRC_Perf!$A85&amp;""</f>
        <v/>
      </c>
      <c r="B379" s="61" t="s">
        <v>8477</v>
      </c>
      <c r="C379" s="60" t="n">
        <v>85</v>
      </c>
      <c r="D379" s="92" t="n">
        <f aca="false">SRC_Perf!$O85</f>
        <v>0</v>
      </c>
      <c r="E379" s="92" t="n">
        <f aca="false">SRC_Perf!$K85</f>
        <v>0</v>
      </c>
      <c r="F379" s="92" t="n">
        <f aca="false">SRC_Perf!$S85</f>
        <v>0</v>
      </c>
    </row>
    <row r="380" customFormat="false" ht="15" hidden="false" customHeight="false" outlineLevel="0" collapsed="false">
      <c r="A380" s="92" t="str">
        <f aca="false">SRC_Perf!$A86&amp;""</f>
        <v/>
      </c>
      <c r="B380" s="61" t="s">
        <v>8477</v>
      </c>
      <c r="C380" s="60" t="n">
        <v>86</v>
      </c>
      <c r="D380" s="92" t="n">
        <f aca="false">SRC_Perf!$O86</f>
        <v>0</v>
      </c>
      <c r="E380" s="92" t="n">
        <f aca="false">SRC_Perf!$K86</f>
        <v>0</v>
      </c>
      <c r="F380" s="92" t="n">
        <f aca="false">SRC_Perf!$S86</f>
        <v>0</v>
      </c>
    </row>
    <row r="381" customFormat="false" ht="15" hidden="false" customHeight="false" outlineLevel="0" collapsed="false">
      <c r="A381" s="92" t="str">
        <f aca="false">SRC_Perf!$A87&amp;""</f>
        <v/>
      </c>
      <c r="B381" s="61" t="s">
        <v>8477</v>
      </c>
      <c r="C381" s="60" t="n">
        <v>87</v>
      </c>
      <c r="D381" s="92" t="n">
        <f aca="false">SRC_Perf!$O87</f>
        <v>0</v>
      </c>
      <c r="E381" s="92" t="n">
        <f aca="false">SRC_Perf!$K87</f>
        <v>0</v>
      </c>
      <c r="F381" s="92" t="n">
        <f aca="false">SRC_Perf!$S87</f>
        <v>0</v>
      </c>
    </row>
    <row r="382" customFormat="false" ht="15" hidden="false" customHeight="false" outlineLevel="0" collapsed="false">
      <c r="A382" s="92" t="str">
        <f aca="false">SRC_Perf!$A88&amp;""</f>
        <v/>
      </c>
      <c r="B382" s="61" t="s">
        <v>8477</v>
      </c>
      <c r="C382" s="60" t="n">
        <v>88</v>
      </c>
      <c r="D382" s="92" t="n">
        <f aca="false">SRC_Perf!$O88</f>
        <v>0</v>
      </c>
      <c r="E382" s="92" t="n">
        <f aca="false">SRC_Perf!$K88</f>
        <v>0</v>
      </c>
      <c r="F382" s="92" t="n">
        <f aca="false">SRC_Perf!$S88</f>
        <v>0</v>
      </c>
    </row>
    <row r="383" customFormat="false" ht="15" hidden="false" customHeight="false" outlineLevel="0" collapsed="false">
      <c r="A383" s="92" t="str">
        <f aca="false">SRC_Perf!$A89&amp;""</f>
        <v/>
      </c>
      <c r="B383" s="61" t="s">
        <v>8477</v>
      </c>
      <c r="C383" s="60" t="n">
        <v>89</v>
      </c>
      <c r="D383" s="92" t="n">
        <f aca="false">SRC_Perf!$O89</f>
        <v>0</v>
      </c>
      <c r="E383" s="92" t="n">
        <f aca="false">SRC_Perf!$K89</f>
        <v>0</v>
      </c>
      <c r="F383" s="92" t="n">
        <f aca="false">SRC_Perf!$S89</f>
        <v>0</v>
      </c>
    </row>
    <row r="384" customFormat="false" ht="15" hidden="false" customHeight="false" outlineLevel="0" collapsed="false">
      <c r="A384" s="92" t="str">
        <f aca="false">SRC_Perf!$A90&amp;""</f>
        <v/>
      </c>
      <c r="B384" s="61" t="s">
        <v>8477</v>
      </c>
      <c r="C384" s="60" t="n">
        <v>90</v>
      </c>
      <c r="D384" s="92" t="n">
        <f aca="false">SRC_Perf!$O90</f>
        <v>0</v>
      </c>
      <c r="E384" s="92" t="n">
        <f aca="false">SRC_Perf!$K90</f>
        <v>0</v>
      </c>
      <c r="F384" s="92" t="n">
        <f aca="false">SRC_Perf!$S90</f>
        <v>0</v>
      </c>
    </row>
    <row r="385" customFormat="false" ht="15" hidden="false" customHeight="false" outlineLevel="0" collapsed="false">
      <c r="A385" s="92" t="str">
        <f aca="false">SRC_Perf!$A91&amp;""</f>
        <v/>
      </c>
      <c r="B385" s="61" t="s">
        <v>8477</v>
      </c>
      <c r="C385" s="60" t="n">
        <v>91</v>
      </c>
      <c r="D385" s="92" t="n">
        <f aca="false">SRC_Perf!$O91</f>
        <v>0</v>
      </c>
      <c r="E385" s="92" t="n">
        <f aca="false">SRC_Perf!$K91</f>
        <v>0</v>
      </c>
      <c r="F385" s="92" t="n">
        <f aca="false">SRC_Perf!$S91</f>
        <v>0</v>
      </c>
    </row>
    <row r="386" customFormat="false" ht="15" hidden="false" customHeight="false" outlineLevel="0" collapsed="false">
      <c r="A386" s="92" t="str">
        <f aca="false">SRC_Perf!$A92&amp;""</f>
        <v/>
      </c>
      <c r="B386" s="61" t="s">
        <v>8477</v>
      </c>
      <c r="C386" s="60" t="n">
        <v>92</v>
      </c>
      <c r="D386" s="92" t="n">
        <f aca="false">SRC_Perf!$O92</f>
        <v>0</v>
      </c>
      <c r="E386" s="92" t="n">
        <f aca="false">SRC_Perf!$K92</f>
        <v>0</v>
      </c>
      <c r="F386" s="92" t="n">
        <f aca="false">SRC_Perf!$S92</f>
        <v>0</v>
      </c>
    </row>
    <row r="387" customFormat="false" ht="15" hidden="false" customHeight="false" outlineLevel="0" collapsed="false">
      <c r="A387" s="92" t="str">
        <f aca="false">SRC_Perf!$A93&amp;""</f>
        <v/>
      </c>
      <c r="B387" s="61" t="s">
        <v>8477</v>
      </c>
      <c r="C387" s="60" t="n">
        <v>93</v>
      </c>
      <c r="D387" s="92" t="n">
        <f aca="false">SRC_Perf!$O93</f>
        <v>0</v>
      </c>
      <c r="E387" s="92" t="n">
        <f aca="false">SRC_Perf!$K93</f>
        <v>0</v>
      </c>
      <c r="F387" s="92" t="n">
        <f aca="false">SRC_Perf!$S93</f>
        <v>0</v>
      </c>
    </row>
    <row r="388" customFormat="false" ht="15" hidden="false" customHeight="false" outlineLevel="0" collapsed="false">
      <c r="A388" s="92" t="str">
        <f aca="false">SRC_Perf!$A94&amp;""</f>
        <v/>
      </c>
      <c r="B388" s="61" t="s">
        <v>8477</v>
      </c>
      <c r="C388" s="60" t="n">
        <v>94</v>
      </c>
      <c r="D388" s="92" t="n">
        <f aca="false">SRC_Perf!$O94</f>
        <v>0</v>
      </c>
      <c r="E388" s="92" t="n">
        <f aca="false">SRC_Perf!$K94</f>
        <v>0</v>
      </c>
      <c r="F388" s="92" t="n">
        <f aca="false">SRC_Perf!$S94</f>
        <v>0</v>
      </c>
    </row>
    <row r="389" customFormat="false" ht="15" hidden="false" customHeight="false" outlineLevel="0" collapsed="false">
      <c r="A389" s="92" t="str">
        <f aca="false">SRC_Perf!$A95&amp;""</f>
        <v/>
      </c>
      <c r="B389" s="61" t="s">
        <v>8477</v>
      </c>
      <c r="C389" s="60" t="n">
        <v>95</v>
      </c>
      <c r="D389" s="92" t="n">
        <f aca="false">SRC_Perf!$O95</f>
        <v>0</v>
      </c>
      <c r="E389" s="92" t="n">
        <f aca="false">SRC_Perf!$K95</f>
        <v>0</v>
      </c>
      <c r="F389" s="92" t="n">
        <f aca="false">SRC_Perf!$S95</f>
        <v>0</v>
      </c>
    </row>
    <row r="390" customFormat="false" ht="15" hidden="false" customHeight="false" outlineLevel="0" collapsed="false">
      <c r="A390" s="92" t="str">
        <f aca="false">SRC_Perf!$A96&amp;""</f>
        <v/>
      </c>
      <c r="B390" s="61" t="s">
        <v>8477</v>
      </c>
      <c r="C390" s="60" t="n">
        <v>96</v>
      </c>
      <c r="D390" s="92" t="n">
        <f aca="false">SRC_Perf!$O96</f>
        <v>0</v>
      </c>
      <c r="E390" s="92" t="n">
        <f aca="false">SRC_Perf!$K96</f>
        <v>0</v>
      </c>
      <c r="F390" s="92" t="n">
        <f aca="false">SRC_Perf!$S96</f>
        <v>0</v>
      </c>
    </row>
    <row r="391" customFormat="false" ht="15" hidden="false" customHeight="false" outlineLevel="0" collapsed="false">
      <c r="A391" s="92" t="str">
        <f aca="false">SRC_Perf!$A97&amp;""</f>
        <v/>
      </c>
      <c r="B391" s="61" t="s">
        <v>8477</v>
      </c>
      <c r="C391" s="60" t="n">
        <v>97</v>
      </c>
      <c r="D391" s="92" t="n">
        <f aca="false">SRC_Perf!$O97</f>
        <v>0</v>
      </c>
      <c r="E391" s="92" t="n">
        <f aca="false">SRC_Perf!$K97</f>
        <v>0</v>
      </c>
      <c r="F391" s="92" t="n">
        <f aca="false">SRC_Perf!$S97</f>
        <v>0</v>
      </c>
    </row>
    <row r="392" customFormat="false" ht="15" hidden="false" customHeight="false" outlineLevel="0" collapsed="false">
      <c r="A392" s="92" t="str">
        <f aca="false">SRC_Perf!$A98&amp;""</f>
        <v/>
      </c>
      <c r="B392" s="61" t="s">
        <v>8477</v>
      </c>
      <c r="C392" s="60" t="n">
        <v>98</v>
      </c>
      <c r="D392" s="92" t="n">
        <f aca="false">SRC_Perf!$O98</f>
        <v>0</v>
      </c>
      <c r="E392" s="92" t="n">
        <f aca="false">SRC_Perf!$K98</f>
        <v>0</v>
      </c>
      <c r="F392" s="92" t="n">
        <f aca="false">SRC_Perf!$S98</f>
        <v>0</v>
      </c>
    </row>
    <row r="393" customFormat="false" ht="15" hidden="false" customHeight="false" outlineLevel="0" collapsed="false">
      <c r="A393" s="92" t="str">
        <f aca="false">SRC_Perf!$A99&amp;""</f>
        <v/>
      </c>
      <c r="B393" s="61" t="s">
        <v>8477</v>
      </c>
      <c r="C393" s="60" t="n">
        <v>99</v>
      </c>
      <c r="D393" s="92" t="n">
        <f aca="false">SRC_Perf!$O99</f>
        <v>0</v>
      </c>
      <c r="E393" s="92" t="n">
        <f aca="false">SRC_Perf!$K99</f>
        <v>0</v>
      </c>
      <c r="F393" s="92" t="n">
        <f aca="false">SRC_Perf!$S99</f>
        <v>0</v>
      </c>
    </row>
    <row r="394" customFormat="false" ht="15" hidden="false" customHeight="false" outlineLevel="0" collapsed="false">
      <c r="A394" s="92" t="str">
        <f aca="false">SRC_Perf!$A100&amp;""</f>
        <v/>
      </c>
      <c r="B394" s="61" t="s">
        <v>8477</v>
      </c>
      <c r="C394" s="60" t="n">
        <v>100</v>
      </c>
      <c r="D394" s="92" t="n">
        <f aca="false">SRC_Perf!$O100</f>
        <v>0</v>
      </c>
      <c r="E394" s="92" t="n">
        <f aca="false">SRC_Perf!$K100</f>
        <v>0</v>
      </c>
      <c r="F394" s="92" t="n">
        <f aca="false">SRC_Perf!$S100</f>
        <v>0</v>
      </c>
    </row>
    <row r="395" customFormat="false" ht="15" hidden="false" customHeight="false" outlineLevel="0" collapsed="false">
      <c r="A395" s="92" t="str">
        <f aca="false">SRC_Perf!$A101&amp;""</f>
        <v/>
      </c>
      <c r="B395" s="61" t="s">
        <v>8477</v>
      </c>
      <c r="C395" s="60" t="n">
        <v>101</v>
      </c>
      <c r="D395" s="92" t="n">
        <f aca="false">SRC_Perf!$O101</f>
        <v>0</v>
      </c>
      <c r="E395" s="92" t="n">
        <f aca="false">SRC_Perf!$K101</f>
        <v>0</v>
      </c>
      <c r="F395" s="92" t="n">
        <f aca="false">SRC_Perf!$S101</f>
        <v>0</v>
      </c>
    </row>
    <row r="396" customFormat="false" ht="15" hidden="false" customHeight="false" outlineLevel="0" collapsed="false">
      <c r="A396" s="92" t="str">
        <f aca="false">SRC_Perf!$A102&amp;""</f>
        <v/>
      </c>
      <c r="B396" s="61" t="s">
        <v>8477</v>
      </c>
      <c r="C396" s="60" t="n">
        <v>102</v>
      </c>
      <c r="D396" s="92" t="n">
        <f aca="false">SRC_Perf!$O102</f>
        <v>0</v>
      </c>
      <c r="E396" s="92" t="n">
        <f aca="false">SRC_Perf!$K102</f>
        <v>0</v>
      </c>
      <c r="F396" s="92" t="n">
        <f aca="false">SRC_Perf!$S102</f>
        <v>0</v>
      </c>
    </row>
    <row r="397" customFormat="false" ht="15" hidden="false" customHeight="false" outlineLevel="0" collapsed="false">
      <c r="A397" s="92" t="str">
        <f aca="false">SRC_Perf!$A103&amp;""</f>
        <v/>
      </c>
      <c r="B397" s="61" t="s">
        <v>8477</v>
      </c>
      <c r="C397" s="60" t="n">
        <v>103</v>
      </c>
      <c r="D397" s="92" t="n">
        <f aca="false">SRC_Perf!$O103</f>
        <v>0</v>
      </c>
      <c r="E397" s="92" t="n">
        <f aca="false">SRC_Perf!$K103</f>
        <v>0</v>
      </c>
      <c r="F397" s="92" t="n">
        <f aca="false">SRC_Perf!$S103</f>
        <v>0</v>
      </c>
    </row>
    <row r="398" customFormat="false" ht="15" hidden="false" customHeight="false" outlineLevel="0" collapsed="false">
      <c r="A398" s="92" t="str">
        <f aca="false">SRC_Perf!$A104&amp;""</f>
        <v/>
      </c>
      <c r="B398" s="61" t="s">
        <v>8477</v>
      </c>
      <c r="C398" s="60" t="n">
        <v>104</v>
      </c>
      <c r="D398" s="92" t="n">
        <f aca="false">SRC_Perf!$O104</f>
        <v>0</v>
      </c>
      <c r="E398" s="92" t="n">
        <f aca="false">SRC_Perf!$K104</f>
        <v>0</v>
      </c>
      <c r="F398" s="92" t="n">
        <f aca="false">SRC_Perf!$S104</f>
        <v>0</v>
      </c>
    </row>
    <row r="399" customFormat="false" ht="15" hidden="false" customHeight="false" outlineLevel="0" collapsed="false">
      <c r="A399" s="92" t="str">
        <f aca="false">SRC_Perf!$A105&amp;""</f>
        <v/>
      </c>
      <c r="B399" s="61" t="s">
        <v>8477</v>
      </c>
      <c r="C399" s="60" t="n">
        <v>105</v>
      </c>
      <c r="D399" s="92" t="n">
        <f aca="false">SRC_Perf!$O105</f>
        <v>0</v>
      </c>
      <c r="E399" s="92" t="n">
        <f aca="false">SRC_Perf!$K105</f>
        <v>0</v>
      </c>
      <c r="F399" s="92" t="n">
        <f aca="false">SRC_Perf!$S105</f>
        <v>0</v>
      </c>
    </row>
    <row r="400" customFormat="false" ht="15" hidden="false" customHeight="false" outlineLevel="0" collapsed="false">
      <c r="A400" s="92" t="str">
        <f aca="false">SRC_Perf!$A106&amp;""</f>
        <v/>
      </c>
      <c r="B400" s="61" t="s">
        <v>8477</v>
      </c>
      <c r="C400" s="60" t="n">
        <v>106</v>
      </c>
      <c r="D400" s="92" t="n">
        <f aca="false">SRC_Perf!$O106</f>
        <v>0</v>
      </c>
      <c r="E400" s="92" t="n">
        <f aca="false">SRC_Perf!$K106</f>
        <v>0</v>
      </c>
      <c r="F400" s="92" t="n">
        <f aca="false">SRC_Perf!$S106</f>
        <v>0</v>
      </c>
    </row>
    <row r="401" customFormat="false" ht="15" hidden="false" customHeight="false" outlineLevel="0" collapsed="false">
      <c r="A401" s="92" t="str">
        <f aca="false">SRC_Perf!$A107&amp;""</f>
        <v/>
      </c>
      <c r="B401" s="61" t="s">
        <v>8477</v>
      </c>
      <c r="C401" s="60" t="n">
        <v>107</v>
      </c>
      <c r="D401" s="92" t="n">
        <f aca="false">SRC_Perf!$O107</f>
        <v>0</v>
      </c>
      <c r="E401" s="92" t="n">
        <f aca="false">SRC_Perf!$K107</f>
        <v>0</v>
      </c>
      <c r="F401" s="92" t="n">
        <f aca="false">SRC_Perf!$S107</f>
        <v>0</v>
      </c>
    </row>
    <row r="402" customFormat="false" ht="15" hidden="false" customHeight="false" outlineLevel="0" collapsed="false">
      <c r="A402" s="92" t="str">
        <f aca="false">SRC_Perf!$A108&amp;""</f>
        <v/>
      </c>
      <c r="B402" s="61" t="s">
        <v>8477</v>
      </c>
      <c r="C402" s="60" t="n">
        <v>108</v>
      </c>
      <c r="D402" s="92" t="n">
        <f aca="false">SRC_Perf!$O108</f>
        <v>0</v>
      </c>
      <c r="E402" s="92" t="n">
        <f aca="false">SRC_Perf!$K108</f>
        <v>0</v>
      </c>
      <c r="F402" s="92" t="n">
        <f aca="false">SRC_Perf!$S108</f>
        <v>0</v>
      </c>
    </row>
    <row r="403" customFormat="false" ht="15" hidden="false" customHeight="false" outlineLevel="0" collapsed="false">
      <c r="A403" s="92" t="str">
        <f aca="false">SRC_Perf!$A109&amp;""</f>
        <v/>
      </c>
      <c r="B403" s="61" t="s">
        <v>8477</v>
      </c>
      <c r="C403" s="60" t="n">
        <v>109</v>
      </c>
      <c r="D403" s="92" t="n">
        <f aca="false">SRC_Perf!$O109</f>
        <v>0</v>
      </c>
      <c r="E403" s="92" t="n">
        <f aca="false">SRC_Perf!$K109</f>
        <v>0</v>
      </c>
      <c r="F403" s="92" t="n">
        <f aca="false">SRC_Perf!$S109</f>
        <v>0</v>
      </c>
    </row>
    <row r="404" customFormat="false" ht="15" hidden="false" customHeight="false" outlineLevel="0" collapsed="false">
      <c r="A404" s="92" t="str">
        <f aca="false">SRC_Perf!$A110&amp;""</f>
        <v/>
      </c>
      <c r="B404" s="61" t="s">
        <v>8477</v>
      </c>
      <c r="C404" s="60" t="n">
        <v>110</v>
      </c>
      <c r="D404" s="92" t="n">
        <f aca="false">SRC_Perf!$O110</f>
        <v>0</v>
      </c>
      <c r="E404" s="92" t="n">
        <f aca="false">SRC_Perf!$K110</f>
        <v>0</v>
      </c>
      <c r="F404" s="92" t="n">
        <f aca="false">SRC_Perf!$S110</f>
        <v>0</v>
      </c>
    </row>
    <row r="405" customFormat="false" ht="15" hidden="false" customHeight="false" outlineLevel="0" collapsed="false">
      <c r="A405" s="92" t="str">
        <f aca="false">SRC_Perf!$A111&amp;""</f>
        <v/>
      </c>
      <c r="B405" s="61" t="s">
        <v>8477</v>
      </c>
      <c r="C405" s="60" t="n">
        <v>111</v>
      </c>
      <c r="D405" s="92" t="n">
        <f aca="false">SRC_Perf!$O111</f>
        <v>0</v>
      </c>
      <c r="E405" s="92" t="n">
        <f aca="false">SRC_Perf!$K111</f>
        <v>0</v>
      </c>
      <c r="F405" s="92" t="n">
        <f aca="false">SRC_Perf!$S111</f>
        <v>0</v>
      </c>
    </row>
    <row r="406" customFormat="false" ht="15" hidden="false" customHeight="false" outlineLevel="0" collapsed="false">
      <c r="A406" s="92" t="str">
        <f aca="false">SRC_Perf!$A112&amp;""</f>
        <v/>
      </c>
      <c r="B406" s="61" t="s">
        <v>8477</v>
      </c>
      <c r="C406" s="60" t="n">
        <v>112</v>
      </c>
      <c r="D406" s="92" t="n">
        <f aca="false">SRC_Perf!$O112</f>
        <v>0</v>
      </c>
      <c r="E406" s="92" t="n">
        <f aca="false">SRC_Perf!$K112</f>
        <v>0</v>
      </c>
      <c r="F406" s="92" t="n">
        <f aca="false">SRC_Perf!$S112</f>
        <v>0</v>
      </c>
    </row>
    <row r="407" customFormat="false" ht="15" hidden="false" customHeight="false" outlineLevel="0" collapsed="false">
      <c r="A407" s="92" t="str">
        <f aca="false">SRC_Perf!$A113&amp;""</f>
        <v/>
      </c>
      <c r="B407" s="61" t="s">
        <v>8477</v>
      </c>
      <c r="C407" s="60" t="n">
        <v>113</v>
      </c>
      <c r="D407" s="92" t="n">
        <f aca="false">SRC_Perf!$O113</f>
        <v>0</v>
      </c>
      <c r="E407" s="92" t="n">
        <f aca="false">SRC_Perf!$K113</f>
        <v>0</v>
      </c>
      <c r="F407" s="92" t="n">
        <f aca="false">SRC_Perf!$S113</f>
        <v>0</v>
      </c>
    </row>
    <row r="408" customFormat="false" ht="15" hidden="false" customHeight="false" outlineLevel="0" collapsed="false">
      <c r="A408" s="92" t="str">
        <f aca="false">SRC_Price!$A5&amp;""</f>
        <v>SRC_PRC_001</v>
      </c>
      <c r="B408" s="61" t="s">
        <v>8478</v>
      </c>
      <c r="C408" s="60" t="n">
        <v>5</v>
      </c>
      <c r="D408" s="92" t="str">
        <f aca="false">SRC_Price!$O5</f>
        <v>Active</v>
      </c>
      <c r="E408" s="92" t="n">
        <f aca="false">SRC_Price!$K5</f>
        <v>3</v>
      </c>
      <c r="F408" s="92" t="str">
        <f aca="false">SRC_Price!$S5</f>
        <v>—</v>
      </c>
    </row>
    <row r="409" customFormat="false" ht="15" hidden="false" customHeight="false" outlineLevel="0" collapsed="false">
      <c r="A409" s="92" t="str">
        <f aca="false">SRC_Price!$A6&amp;""</f>
        <v>SRC_PRC_002</v>
      </c>
      <c r="B409" s="61" t="s">
        <v>8478</v>
      </c>
      <c r="C409" s="60" t="n">
        <v>6</v>
      </c>
      <c r="D409" s="92" t="str">
        <f aca="false">SRC_Price!$O6</f>
        <v>Active</v>
      </c>
      <c r="E409" s="92" t="n">
        <f aca="false">SRC_Price!$K6</f>
        <v>2</v>
      </c>
      <c r="F409" s="92" t="str">
        <f aca="false">SRC_Price!$S6</f>
        <v>—</v>
      </c>
    </row>
    <row r="410" customFormat="false" ht="15" hidden="false" customHeight="false" outlineLevel="0" collapsed="false">
      <c r="A410" s="92" t="str">
        <f aca="false">SRC_Price!$A7&amp;""</f>
        <v>SRC_PRC_003</v>
      </c>
      <c r="B410" s="61" t="s">
        <v>8478</v>
      </c>
      <c r="C410" s="60" t="n">
        <v>7</v>
      </c>
      <c r="D410" s="92" t="str">
        <f aca="false">SRC_Price!$O7</f>
        <v>Active</v>
      </c>
      <c r="E410" s="92" t="n">
        <f aca="false">SRC_Price!$K7</f>
        <v>1</v>
      </c>
      <c r="F410" s="92" t="str">
        <f aca="false">SRC_Price!$S7</f>
        <v>—</v>
      </c>
    </row>
    <row r="411" customFormat="false" ht="15" hidden="false" customHeight="false" outlineLevel="0" collapsed="false">
      <c r="A411" s="92" t="str">
        <f aca="false">SRC_Price!$A8&amp;""</f>
        <v>SRC_PRC_004</v>
      </c>
      <c r="B411" s="61" t="s">
        <v>8478</v>
      </c>
      <c r="C411" s="60" t="n">
        <v>8</v>
      </c>
      <c r="D411" s="92" t="str">
        <f aca="false">SRC_Price!$O8</f>
        <v>Active</v>
      </c>
      <c r="E411" s="92" t="n">
        <f aca="false">SRC_Price!$K8</f>
        <v>1</v>
      </c>
      <c r="F411" s="92" t="str">
        <f aca="false">SRC_Price!$S8</f>
        <v>—</v>
      </c>
    </row>
    <row r="412" customFormat="false" ht="15" hidden="false" customHeight="false" outlineLevel="0" collapsed="false">
      <c r="A412" s="92" t="str">
        <f aca="false">SRC_Price!$A9&amp;""</f>
        <v>SRC_PRC_005</v>
      </c>
      <c r="B412" s="61" t="s">
        <v>8478</v>
      </c>
      <c r="C412" s="60" t="n">
        <v>9</v>
      </c>
      <c r="D412" s="92" t="str">
        <f aca="false">SRC_Price!$O9</f>
        <v>Active</v>
      </c>
      <c r="E412" s="92" t="n">
        <f aca="false">SRC_Price!$K9</f>
        <v>1</v>
      </c>
      <c r="F412" s="92" t="str">
        <f aca="false">SRC_Price!$S9</f>
        <v>—</v>
      </c>
    </row>
    <row r="413" customFormat="false" ht="15" hidden="false" customHeight="false" outlineLevel="0" collapsed="false">
      <c r="A413" s="92" t="str">
        <f aca="false">SRC_Price!$A10&amp;""</f>
        <v>SRC_PRC_006</v>
      </c>
      <c r="B413" s="61" t="s">
        <v>8478</v>
      </c>
      <c r="C413" s="60" t="n">
        <v>10</v>
      </c>
      <c r="D413" s="92" t="str">
        <f aca="false">SRC_Price!$O10</f>
        <v>Active</v>
      </c>
      <c r="E413" s="92" t="n">
        <f aca="false">SRC_Price!$K10</f>
        <v>1</v>
      </c>
      <c r="F413" s="92" t="str">
        <f aca="false">SRC_Price!$S10</f>
        <v>—</v>
      </c>
    </row>
    <row r="414" customFormat="false" ht="15" hidden="false" customHeight="false" outlineLevel="0" collapsed="false">
      <c r="A414" s="92" t="str">
        <f aca="false">SRC_Price!$A11&amp;""</f>
        <v>SRC_PRC_007</v>
      </c>
      <c r="B414" s="61" t="s">
        <v>8478</v>
      </c>
      <c r="C414" s="60" t="n">
        <v>11</v>
      </c>
      <c r="D414" s="92" t="str">
        <f aca="false">SRC_Price!$O11</f>
        <v>Active</v>
      </c>
      <c r="E414" s="92" t="n">
        <f aca="false">SRC_Price!$K11</f>
        <v>1</v>
      </c>
      <c r="F414" s="92" t="str">
        <f aca="false">SRC_Price!$S11</f>
        <v>—</v>
      </c>
    </row>
    <row r="415" customFormat="false" ht="15" hidden="false" customHeight="false" outlineLevel="0" collapsed="false">
      <c r="A415" s="92" t="str">
        <f aca="false">SRC_Price!$A12&amp;""</f>
        <v>SRC_PRC_008</v>
      </c>
      <c r="B415" s="61" t="s">
        <v>8478</v>
      </c>
      <c r="C415" s="60" t="n">
        <v>12</v>
      </c>
      <c r="D415" s="92" t="str">
        <f aca="false">SRC_Price!$O12</f>
        <v>Active</v>
      </c>
      <c r="E415" s="92" t="n">
        <f aca="false">SRC_Price!$K12</f>
        <v>1</v>
      </c>
      <c r="F415" s="92" t="str">
        <f aca="false">SRC_Price!$S12</f>
        <v>—</v>
      </c>
    </row>
    <row r="416" customFormat="false" ht="15" hidden="false" customHeight="false" outlineLevel="0" collapsed="false">
      <c r="A416" s="92" t="str">
        <f aca="false">SRC_Price!$A13&amp;""</f>
        <v>SRC_PRC_009</v>
      </c>
      <c r="B416" s="61" t="s">
        <v>8478</v>
      </c>
      <c r="C416" s="60" t="n">
        <v>13</v>
      </c>
      <c r="D416" s="92" t="str">
        <f aca="false">SRC_Price!$O13</f>
        <v>Active</v>
      </c>
      <c r="E416" s="92" t="n">
        <f aca="false">SRC_Price!$K13</f>
        <v>1</v>
      </c>
      <c r="F416" s="92" t="str">
        <f aca="false">SRC_Price!$S13</f>
        <v>—</v>
      </c>
    </row>
    <row r="417" customFormat="false" ht="15" hidden="false" customHeight="false" outlineLevel="0" collapsed="false">
      <c r="A417" s="92" t="str">
        <f aca="false">SRC_Price!$A14&amp;""</f>
        <v>SRC_PRC_010</v>
      </c>
      <c r="B417" s="61" t="s">
        <v>8478</v>
      </c>
      <c r="C417" s="60" t="n">
        <v>14</v>
      </c>
      <c r="D417" s="92" t="str">
        <f aca="false">SRC_Price!$O14</f>
        <v>Active</v>
      </c>
      <c r="E417" s="92" t="n">
        <f aca="false">SRC_Price!$K14</f>
        <v>1</v>
      </c>
      <c r="F417" s="92" t="str">
        <f aca="false">SRC_Price!$S14</f>
        <v>—</v>
      </c>
    </row>
    <row r="418" customFormat="false" ht="15" hidden="false" customHeight="false" outlineLevel="0" collapsed="false">
      <c r="A418" s="92" t="str">
        <f aca="false">SRC_Price!$A15&amp;""</f>
        <v>SRC_PRC_011</v>
      </c>
      <c r="B418" s="61" t="s">
        <v>8478</v>
      </c>
      <c r="C418" s="60" t="n">
        <v>15</v>
      </c>
      <c r="D418" s="92" t="str">
        <f aca="false">SRC_Price!$O15</f>
        <v>Active</v>
      </c>
      <c r="E418" s="92" t="n">
        <f aca="false">SRC_Price!$K15</f>
        <v>1</v>
      </c>
      <c r="F418" s="92" t="str">
        <f aca="false">SRC_Price!$S15</f>
        <v>—</v>
      </c>
    </row>
    <row r="419" customFormat="false" ht="15" hidden="false" customHeight="false" outlineLevel="0" collapsed="false">
      <c r="A419" s="92" t="str">
        <f aca="false">SRC_Price!$A16&amp;""</f>
        <v>SRC_PRC_012</v>
      </c>
      <c r="B419" s="61" t="s">
        <v>8478</v>
      </c>
      <c r="C419" s="60" t="n">
        <v>16</v>
      </c>
      <c r="D419" s="92" t="str">
        <f aca="false">SRC_Price!$O16</f>
        <v>Active</v>
      </c>
      <c r="E419" s="92" t="n">
        <f aca="false">SRC_Price!$K16</f>
        <v>2</v>
      </c>
      <c r="F419" s="92" t="str">
        <f aca="false">SRC_Price!$S16</f>
        <v>—</v>
      </c>
    </row>
    <row r="420" customFormat="false" ht="15" hidden="false" customHeight="false" outlineLevel="0" collapsed="false">
      <c r="A420" s="92" t="str">
        <f aca="false">SRC_Price!$A17&amp;""</f>
        <v>SRC_PRC_013</v>
      </c>
      <c r="B420" s="61" t="s">
        <v>8478</v>
      </c>
      <c r="C420" s="60" t="n">
        <v>17</v>
      </c>
      <c r="D420" s="92" t="str">
        <f aca="false">SRC_Price!$O17</f>
        <v>Active</v>
      </c>
      <c r="E420" s="92" t="n">
        <f aca="false">SRC_Price!$K17</f>
        <v>2</v>
      </c>
      <c r="F420" s="92" t="str">
        <f aca="false">SRC_Price!$S17</f>
        <v>—</v>
      </c>
    </row>
    <row r="421" customFormat="false" ht="15" hidden="false" customHeight="false" outlineLevel="0" collapsed="false">
      <c r="A421" s="92" t="str">
        <f aca="false">SRC_Price!$A18&amp;""</f>
        <v>SRC_PRC_014</v>
      </c>
      <c r="B421" s="61" t="s">
        <v>8478</v>
      </c>
      <c r="C421" s="60" t="n">
        <v>18</v>
      </c>
      <c r="D421" s="92" t="str">
        <f aca="false">SRC_Price!$O18</f>
        <v>Active</v>
      </c>
      <c r="E421" s="92" t="n">
        <f aca="false">SRC_Price!$K18</f>
        <v>2</v>
      </c>
      <c r="F421" s="92" t="str">
        <f aca="false">SRC_Price!$S18</f>
        <v>—</v>
      </c>
    </row>
    <row r="422" customFormat="false" ht="15" hidden="false" customHeight="false" outlineLevel="0" collapsed="false">
      <c r="A422" s="92" t="str">
        <f aca="false">SRC_Price!$A19&amp;""</f>
        <v>SRC_PRC_015</v>
      </c>
      <c r="B422" s="61" t="s">
        <v>8478</v>
      </c>
      <c r="C422" s="60" t="n">
        <v>19</v>
      </c>
      <c r="D422" s="92" t="str">
        <f aca="false">SRC_Price!$O19</f>
        <v>Active</v>
      </c>
      <c r="E422" s="92" t="n">
        <f aca="false">SRC_Price!$K19</f>
        <v>2</v>
      </c>
      <c r="F422" s="92" t="str">
        <f aca="false">SRC_Price!$S19</f>
        <v>—</v>
      </c>
    </row>
    <row r="423" customFormat="false" ht="15" hidden="false" customHeight="false" outlineLevel="0" collapsed="false">
      <c r="A423" s="92" t="str">
        <f aca="false">SRC_Price!$A20&amp;""</f>
        <v>SRC_PRC_016</v>
      </c>
      <c r="B423" s="61" t="s">
        <v>8478</v>
      </c>
      <c r="C423" s="60" t="n">
        <v>20</v>
      </c>
      <c r="D423" s="92" t="str">
        <f aca="false">SRC_Price!$O20</f>
        <v>Active</v>
      </c>
      <c r="E423" s="92" t="n">
        <f aca="false">SRC_Price!$K20</f>
        <v>2</v>
      </c>
      <c r="F423" s="92" t="str">
        <f aca="false">SRC_Price!$S20</f>
        <v>—</v>
      </c>
    </row>
    <row r="424" customFormat="false" ht="15" hidden="false" customHeight="false" outlineLevel="0" collapsed="false">
      <c r="A424" s="92" t="str">
        <f aca="false">SRC_Price!$A21&amp;""</f>
        <v>SRC_PRC_017</v>
      </c>
      <c r="B424" s="61" t="s">
        <v>8478</v>
      </c>
      <c r="C424" s="60" t="n">
        <v>21</v>
      </c>
      <c r="D424" s="92" t="str">
        <f aca="false">SRC_Price!$O21</f>
        <v>Active</v>
      </c>
      <c r="E424" s="92" t="n">
        <f aca="false">SRC_Price!$K21</f>
        <v>2</v>
      </c>
      <c r="F424" s="92" t="str">
        <f aca="false">SRC_Price!$S21</f>
        <v>—</v>
      </c>
    </row>
    <row r="425" customFormat="false" ht="15" hidden="false" customHeight="false" outlineLevel="0" collapsed="false">
      <c r="A425" s="92" t="str">
        <f aca="false">SRC_Price!$A22&amp;""</f>
        <v>SRC_PRC_018</v>
      </c>
      <c r="B425" s="61" t="s">
        <v>8478</v>
      </c>
      <c r="C425" s="60" t="n">
        <v>22</v>
      </c>
      <c r="D425" s="92" t="str">
        <f aca="false">SRC_Price!$O22</f>
        <v>Active</v>
      </c>
      <c r="E425" s="92" t="n">
        <f aca="false">SRC_Price!$K22</f>
        <v>2</v>
      </c>
      <c r="F425" s="92" t="str">
        <f aca="false">SRC_Price!$S22</f>
        <v>—</v>
      </c>
    </row>
    <row r="426" customFormat="false" ht="15" hidden="false" customHeight="false" outlineLevel="0" collapsed="false">
      <c r="A426" s="92" t="str">
        <f aca="false">SRC_Price!$A23&amp;""</f>
        <v>SRC_PRC_019</v>
      </c>
      <c r="B426" s="61" t="s">
        <v>8478</v>
      </c>
      <c r="C426" s="60" t="n">
        <v>23</v>
      </c>
      <c r="D426" s="92" t="str">
        <f aca="false">SRC_Price!$O23</f>
        <v>Active</v>
      </c>
      <c r="E426" s="92" t="n">
        <f aca="false">SRC_Price!$K23</f>
        <v>2</v>
      </c>
      <c r="F426" s="92" t="str">
        <f aca="false">SRC_Price!$S23</f>
        <v>—</v>
      </c>
    </row>
    <row r="427" customFormat="false" ht="15" hidden="false" customHeight="false" outlineLevel="0" collapsed="false">
      <c r="A427" s="92" t="str">
        <f aca="false">SRC_Price!$A24&amp;""</f>
        <v>SRC_PRC_020</v>
      </c>
      <c r="B427" s="61" t="s">
        <v>8478</v>
      </c>
      <c r="C427" s="60" t="n">
        <v>24</v>
      </c>
      <c r="D427" s="92" t="str">
        <f aca="false">SRC_Price!$O24</f>
        <v>Active</v>
      </c>
      <c r="E427" s="92" t="n">
        <f aca="false">SRC_Price!$K24</f>
        <v>2</v>
      </c>
      <c r="F427" s="92" t="str">
        <f aca="false">SRC_Price!$S24</f>
        <v>—</v>
      </c>
    </row>
    <row r="428" customFormat="false" ht="15" hidden="false" customHeight="false" outlineLevel="0" collapsed="false">
      <c r="A428" s="92" t="str">
        <f aca="false">SRC_Price!$A25&amp;""</f>
        <v>SRC_PRC_021</v>
      </c>
      <c r="B428" s="61" t="s">
        <v>8478</v>
      </c>
      <c r="C428" s="60" t="n">
        <v>25</v>
      </c>
      <c r="D428" s="92" t="str">
        <f aca="false">SRC_Price!$O25</f>
        <v>Active</v>
      </c>
      <c r="E428" s="92" t="n">
        <f aca="false">SRC_Price!$K25</f>
        <v>1</v>
      </c>
      <c r="F428" s="92" t="str">
        <f aca="false">SRC_Price!$S25</f>
        <v>—</v>
      </c>
    </row>
    <row r="429" customFormat="false" ht="15" hidden="false" customHeight="false" outlineLevel="0" collapsed="false">
      <c r="A429" s="92" t="str">
        <f aca="false">SRC_Price!$A26&amp;""</f>
        <v>SRC_PRC_022</v>
      </c>
      <c r="B429" s="61" t="s">
        <v>8478</v>
      </c>
      <c r="C429" s="60" t="n">
        <v>26</v>
      </c>
      <c r="D429" s="92" t="str">
        <f aca="false">SRC_Price!$O26</f>
        <v>Active</v>
      </c>
      <c r="E429" s="92" t="n">
        <f aca="false">SRC_Price!$K26</f>
        <v>1</v>
      </c>
      <c r="F429" s="92" t="str">
        <f aca="false">SRC_Price!$S26</f>
        <v>—</v>
      </c>
    </row>
    <row r="430" customFormat="false" ht="15" hidden="false" customHeight="false" outlineLevel="0" collapsed="false">
      <c r="A430" s="92" t="str">
        <f aca="false">SRC_Price!$A27&amp;""</f>
        <v>SRC_PRC_023</v>
      </c>
      <c r="B430" s="61" t="s">
        <v>8478</v>
      </c>
      <c r="C430" s="60" t="n">
        <v>27</v>
      </c>
      <c r="D430" s="92" t="str">
        <f aca="false">SRC_Price!$O27</f>
        <v>Active</v>
      </c>
      <c r="E430" s="92" t="n">
        <f aca="false">SRC_Price!$K27</f>
        <v>1</v>
      </c>
      <c r="F430" s="92" t="str">
        <f aca="false">SRC_Price!$S27</f>
        <v>—</v>
      </c>
    </row>
    <row r="431" customFormat="false" ht="15" hidden="false" customHeight="false" outlineLevel="0" collapsed="false">
      <c r="A431" s="92" t="str">
        <f aca="false">SRC_Price!$A28&amp;""</f>
        <v>SRC_PRC_024</v>
      </c>
      <c r="B431" s="61" t="s">
        <v>8478</v>
      </c>
      <c r="C431" s="60" t="n">
        <v>28</v>
      </c>
      <c r="D431" s="92" t="str">
        <f aca="false">SRC_Price!$O28</f>
        <v>Active</v>
      </c>
      <c r="E431" s="92" t="n">
        <f aca="false">SRC_Price!$K28</f>
        <v>1</v>
      </c>
      <c r="F431" s="92" t="str">
        <f aca="false">SRC_Price!$S28</f>
        <v>—</v>
      </c>
    </row>
    <row r="432" customFormat="false" ht="15" hidden="false" customHeight="false" outlineLevel="0" collapsed="false">
      <c r="A432" s="92" t="str">
        <f aca="false">SRC_Price!$A29&amp;""</f>
        <v>SRC_PRC_025</v>
      </c>
      <c r="B432" s="61" t="s">
        <v>8478</v>
      </c>
      <c r="C432" s="60" t="n">
        <v>29</v>
      </c>
      <c r="D432" s="92" t="str">
        <f aca="false">SRC_Price!$O29</f>
        <v>Active</v>
      </c>
      <c r="E432" s="92" t="n">
        <f aca="false">SRC_Price!$K29</f>
        <v>1</v>
      </c>
      <c r="F432" s="92" t="str">
        <f aca="false">SRC_Price!$S29</f>
        <v>—</v>
      </c>
    </row>
    <row r="433" customFormat="false" ht="15" hidden="false" customHeight="false" outlineLevel="0" collapsed="false">
      <c r="A433" s="92" t="str">
        <f aca="false">SRC_Price!$A30&amp;""</f>
        <v>SRC_PRC_026</v>
      </c>
      <c r="B433" s="61" t="s">
        <v>8478</v>
      </c>
      <c r="C433" s="60" t="n">
        <v>30</v>
      </c>
      <c r="D433" s="92" t="str">
        <f aca="false">SRC_Price!$O30</f>
        <v>Active</v>
      </c>
      <c r="E433" s="92" t="n">
        <f aca="false">SRC_Price!$K30</f>
        <v>1</v>
      </c>
      <c r="F433" s="92" t="str">
        <f aca="false">SRC_Price!$S30</f>
        <v>—</v>
      </c>
    </row>
    <row r="434" customFormat="false" ht="15" hidden="false" customHeight="false" outlineLevel="0" collapsed="false">
      <c r="A434" s="92" t="str">
        <f aca="false">SRC_Price!$A31&amp;""</f>
        <v>SRC_PRC_027</v>
      </c>
      <c r="B434" s="61" t="s">
        <v>8478</v>
      </c>
      <c r="C434" s="60" t="n">
        <v>31</v>
      </c>
      <c r="D434" s="92" t="str">
        <f aca="false">SRC_Price!$O31</f>
        <v>Active</v>
      </c>
      <c r="E434" s="92" t="n">
        <f aca="false">SRC_Price!$K31</f>
        <v>1</v>
      </c>
      <c r="F434" s="92" t="str">
        <f aca="false">SRC_Price!$S31</f>
        <v>—</v>
      </c>
    </row>
    <row r="435" customFormat="false" ht="15" hidden="false" customHeight="false" outlineLevel="0" collapsed="false">
      <c r="A435" s="92" t="str">
        <f aca="false">SRC_Price!$A32&amp;""</f>
        <v>SRC_PRC_028</v>
      </c>
      <c r="B435" s="61" t="s">
        <v>8478</v>
      </c>
      <c r="C435" s="60" t="n">
        <v>32</v>
      </c>
      <c r="D435" s="92" t="str">
        <f aca="false">SRC_Price!$O32</f>
        <v>Active</v>
      </c>
      <c r="E435" s="92" t="n">
        <f aca="false">SRC_Price!$K32</f>
        <v>1</v>
      </c>
      <c r="F435" s="92" t="str">
        <f aca="false">SRC_Price!$S32</f>
        <v>—</v>
      </c>
    </row>
    <row r="436" customFormat="false" ht="15" hidden="false" customHeight="false" outlineLevel="0" collapsed="false">
      <c r="A436" s="92" t="str">
        <f aca="false">SRC_Price!$A33&amp;""</f>
        <v>SRC_PRC_029</v>
      </c>
      <c r="B436" s="61" t="s">
        <v>8478</v>
      </c>
      <c r="C436" s="60" t="n">
        <v>33</v>
      </c>
      <c r="D436" s="92" t="str">
        <f aca="false">SRC_Price!$O33</f>
        <v>Active</v>
      </c>
      <c r="E436" s="92" t="n">
        <f aca="false">SRC_Price!$K33</f>
        <v>1</v>
      </c>
      <c r="F436" s="92" t="str">
        <f aca="false">SRC_Price!$S33</f>
        <v>—</v>
      </c>
    </row>
    <row r="437" customFormat="false" ht="15" hidden="false" customHeight="false" outlineLevel="0" collapsed="false">
      <c r="A437" s="92" t="str">
        <f aca="false">SRC_Price!$A34&amp;""</f>
        <v>SRC_PRC_030</v>
      </c>
      <c r="B437" s="61" t="s">
        <v>8478</v>
      </c>
      <c r="C437" s="60" t="n">
        <v>34</v>
      </c>
      <c r="D437" s="92" t="str">
        <f aca="false">SRC_Price!$O34</f>
        <v>Active</v>
      </c>
      <c r="E437" s="92" t="n">
        <f aca="false">SRC_Price!$K34</f>
        <v>1</v>
      </c>
      <c r="F437" s="92" t="str">
        <f aca="false">SRC_Price!$S34</f>
        <v>—</v>
      </c>
    </row>
    <row r="438" customFormat="false" ht="15" hidden="false" customHeight="false" outlineLevel="0" collapsed="false">
      <c r="A438" s="92" t="str">
        <f aca="false">SRC_Price!$A35&amp;""</f>
        <v>SRC_PRC_031</v>
      </c>
      <c r="B438" s="61" t="s">
        <v>8478</v>
      </c>
      <c r="C438" s="60" t="n">
        <v>35</v>
      </c>
      <c r="D438" s="92" t="str">
        <f aca="false">SRC_Price!$O35</f>
        <v>Active</v>
      </c>
      <c r="E438" s="92" t="n">
        <f aca="false">SRC_Price!$K35</f>
        <v>1</v>
      </c>
      <c r="F438" s="92" t="str">
        <f aca="false">SRC_Price!$S35</f>
        <v>—</v>
      </c>
    </row>
    <row r="439" customFormat="false" ht="15" hidden="false" customHeight="false" outlineLevel="0" collapsed="false">
      <c r="A439" s="92" t="str">
        <f aca="false">SRC_Price!$A36&amp;""</f>
        <v>SRC_PRC_032</v>
      </c>
      <c r="B439" s="61" t="s">
        <v>8478</v>
      </c>
      <c r="C439" s="60" t="n">
        <v>36</v>
      </c>
      <c r="D439" s="92" t="str">
        <f aca="false">SRC_Price!$O36</f>
        <v>Active</v>
      </c>
      <c r="E439" s="92" t="n">
        <f aca="false">SRC_Price!$K36</f>
        <v>1</v>
      </c>
      <c r="F439" s="92" t="str">
        <f aca="false">SRC_Price!$S36</f>
        <v>—</v>
      </c>
    </row>
    <row r="440" customFormat="false" ht="15" hidden="false" customHeight="false" outlineLevel="0" collapsed="false">
      <c r="A440" s="92" t="str">
        <f aca="false">SRC_Price!$A37&amp;""</f>
        <v>SRC_PRC_033</v>
      </c>
      <c r="B440" s="61" t="s">
        <v>8478</v>
      </c>
      <c r="C440" s="60" t="n">
        <v>37</v>
      </c>
      <c r="D440" s="92" t="str">
        <f aca="false">SRC_Price!$O37</f>
        <v>Active</v>
      </c>
      <c r="E440" s="92" t="n">
        <f aca="false">SRC_Price!$K37</f>
        <v>1</v>
      </c>
      <c r="F440" s="92" t="str">
        <f aca="false">SRC_Price!$S37</f>
        <v>—</v>
      </c>
    </row>
    <row r="441" customFormat="false" ht="15" hidden="false" customHeight="false" outlineLevel="0" collapsed="false">
      <c r="A441" s="92" t="str">
        <f aca="false">SRC_Price!$A38&amp;""</f>
        <v>SRC_PRC_034</v>
      </c>
      <c r="B441" s="61" t="s">
        <v>8478</v>
      </c>
      <c r="C441" s="60" t="n">
        <v>38</v>
      </c>
      <c r="D441" s="92" t="str">
        <f aca="false">SRC_Price!$O38</f>
        <v>Active</v>
      </c>
      <c r="E441" s="92" t="n">
        <f aca="false">SRC_Price!$K38</f>
        <v>1</v>
      </c>
      <c r="F441" s="92" t="str">
        <f aca="false">SRC_Price!$S38</f>
        <v>—</v>
      </c>
    </row>
    <row r="442" customFormat="false" ht="15" hidden="false" customHeight="false" outlineLevel="0" collapsed="false">
      <c r="A442" s="92" t="str">
        <f aca="false">SRC_Price!$A39&amp;""</f>
        <v>SRC_PRC_035</v>
      </c>
      <c r="B442" s="61" t="s">
        <v>8478</v>
      </c>
      <c r="C442" s="60" t="n">
        <v>39</v>
      </c>
      <c r="D442" s="92" t="str">
        <f aca="false">SRC_Price!$O39</f>
        <v>Active</v>
      </c>
      <c r="E442" s="92" t="n">
        <f aca="false">SRC_Price!$K39</f>
        <v>2</v>
      </c>
      <c r="F442" s="92" t="str">
        <f aca="false">SRC_Price!$S39</f>
        <v>—</v>
      </c>
    </row>
    <row r="443" customFormat="false" ht="15" hidden="false" customHeight="false" outlineLevel="0" collapsed="false">
      <c r="A443" s="92" t="str">
        <f aca="false">SRC_Price!$A40&amp;""</f>
        <v>SRC_PRC_036</v>
      </c>
      <c r="B443" s="61" t="s">
        <v>8478</v>
      </c>
      <c r="C443" s="60" t="n">
        <v>40</v>
      </c>
      <c r="D443" s="92" t="str">
        <f aca="false">SRC_Price!$O40</f>
        <v>Active</v>
      </c>
      <c r="E443" s="92" t="n">
        <f aca="false">SRC_Price!$K40</f>
        <v>2</v>
      </c>
      <c r="F443" s="92" t="str">
        <f aca="false">SRC_Price!$S40</f>
        <v>—</v>
      </c>
    </row>
    <row r="444" customFormat="false" ht="15" hidden="false" customHeight="false" outlineLevel="0" collapsed="false">
      <c r="A444" s="92" t="str">
        <f aca="false">SRC_Price!$A41&amp;""</f>
        <v>SRC_PRC_037</v>
      </c>
      <c r="B444" s="61" t="s">
        <v>8478</v>
      </c>
      <c r="C444" s="60" t="n">
        <v>41</v>
      </c>
      <c r="D444" s="92" t="str">
        <f aca="false">SRC_Price!$O41</f>
        <v>Active</v>
      </c>
      <c r="E444" s="92" t="n">
        <f aca="false">SRC_Price!$K41</f>
        <v>2</v>
      </c>
      <c r="F444" s="92" t="str">
        <f aca="false">SRC_Price!$S41</f>
        <v>—</v>
      </c>
    </row>
    <row r="445" customFormat="false" ht="15" hidden="false" customHeight="false" outlineLevel="0" collapsed="false">
      <c r="A445" s="92" t="str">
        <f aca="false">SRC_Price!$A42&amp;""</f>
        <v>SRC_PRC_038</v>
      </c>
      <c r="B445" s="61" t="s">
        <v>8478</v>
      </c>
      <c r="C445" s="60" t="n">
        <v>42</v>
      </c>
      <c r="D445" s="92" t="str">
        <f aca="false">SRC_Price!$O42</f>
        <v>Active</v>
      </c>
      <c r="E445" s="92" t="n">
        <f aca="false">SRC_Price!$K42</f>
        <v>2</v>
      </c>
      <c r="F445" s="92" t="str">
        <f aca="false">SRC_Price!$S42</f>
        <v>—</v>
      </c>
    </row>
    <row r="446" customFormat="false" ht="15" hidden="false" customHeight="false" outlineLevel="0" collapsed="false">
      <c r="A446" s="92" t="str">
        <f aca="false">SRC_Price!$A43&amp;""</f>
        <v>SRC_PRC_039</v>
      </c>
      <c r="B446" s="61" t="s">
        <v>8478</v>
      </c>
      <c r="C446" s="60" t="n">
        <v>43</v>
      </c>
      <c r="D446" s="92" t="str">
        <f aca="false">SRC_Price!$O43</f>
        <v>Active</v>
      </c>
      <c r="E446" s="92" t="n">
        <f aca="false">SRC_Price!$K43</f>
        <v>2</v>
      </c>
      <c r="F446" s="92" t="str">
        <f aca="false">SRC_Price!$S43</f>
        <v>—</v>
      </c>
    </row>
    <row r="447" customFormat="false" ht="15" hidden="false" customHeight="false" outlineLevel="0" collapsed="false">
      <c r="A447" s="92" t="str">
        <f aca="false">SRC_Price!$A44&amp;""</f>
        <v>SRC_PRC_040</v>
      </c>
      <c r="B447" s="61" t="s">
        <v>8478</v>
      </c>
      <c r="C447" s="60" t="n">
        <v>44</v>
      </c>
      <c r="D447" s="92" t="str">
        <f aca="false">SRC_Price!$O44</f>
        <v>Active</v>
      </c>
      <c r="E447" s="92" t="n">
        <f aca="false">SRC_Price!$K44</f>
        <v>2</v>
      </c>
      <c r="F447" s="92" t="str">
        <f aca="false">SRC_Price!$S44</f>
        <v>—</v>
      </c>
    </row>
    <row r="448" customFormat="false" ht="15" hidden="false" customHeight="false" outlineLevel="0" collapsed="false">
      <c r="A448" s="92" t="str">
        <f aca="false">SRC_Price!$A45&amp;""</f>
        <v>SRC_PRC_041</v>
      </c>
      <c r="B448" s="61" t="s">
        <v>8478</v>
      </c>
      <c r="C448" s="60" t="n">
        <v>45</v>
      </c>
      <c r="D448" s="92" t="str">
        <f aca="false">SRC_Price!$O45</f>
        <v>Alt</v>
      </c>
      <c r="E448" s="92" t="n">
        <f aca="false">SRC_Price!$K45</f>
        <v>2</v>
      </c>
      <c r="F448" s="92" t="str">
        <f aca="false">SRC_Price!$S45</f>
        <v>—</v>
      </c>
    </row>
    <row r="449" customFormat="false" ht="15" hidden="false" customHeight="false" outlineLevel="0" collapsed="false">
      <c r="A449" s="92" t="str">
        <f aca="false">SRC_Price!$A46&amp;""</f>
        <v>SRC_PRC_042</v>
      </c>
      <c r="B449" s="61" t="s">
        <v>8478</v>
      </c>
      <c r="C449" s="60" t="n">
        <v>46</v>
      </c>
      <c r="D449" s="92" t="str">
        <f aca="false">SRC_Price!$O46</f>
        <v>Alt</v>
      </c>
      <c r="E449" s="92" t="n">
        <f aca="false">SRC_Price!$K46</f>
        <v>2</v>
      </c>
      <c r="F449" s="92" t="str">
        <f aca="false">SRC_Price!$S46</f>
        <v>—</v>
      </c>
    </row>
    <row r="450" customFormat="false" ht="15" hidden="false" customHeight="false" outlineLevel="0" collapsed="false">
      <c r="A450" s="92" t="str">
        <f aca="false">SRC_Price!$A47&amp;""</f>
        <v>SRC_PRC_043</v>
      </c>
      <c r="B450" s="61" t="s">
        <v>8478</v>
      </c>
      <c r="C450" s="60" t="n">
        <v>47</v>
      </c>
      <c r="D450" s="92" t="str">
        <f aca="false">SRC_Price!$O47</f>
        <v>Active</v>
      </c>
      <c r="E450" s="92" t="n">
        <f aca="false">SRC_Price!$K47</f>
        <v>2</v>
      </c>
      <c r="F450" s="92" t="str">
        <f aca="false">SRC_Price!$S47</f>
        <v>—</v>
      </c>
    </row>
    <row r="451" customFormat="false" ht="15" hidden="false" customHeight="false" outlineLevel="0" collapsed="false">
      <c r="A451" s="92" t="str">
        <f aca="false">SRC_Price!$A48&amp;""</f>
        <v>SRC_PRC_044</v>
      </c>
      <c r="B451" s="61" t="s">
        <v>8478</v>
      </c>
      <c r="C451" s="60" t="n">
        <v>48</v>
      </c>
      <c r="D451" s="92" t="str">
        <f aca="false">SRC_Price!$O48</f>
        <v>Active</v>
      </c>
      <c r="E451" s="92" t="n">
        <f aca="false">SRC_Price!$K48</f>
        <v>2</v>
      </c>
      <c r="F451" s="92" t="str">
        <f aca="false">SRC_Price!$S48</f>
        <v>—</v>
      </c>
    </row>
    <row r="452" customFormat="false" ht="15" hidden="false" customHeight="false" outlineLevel="0" collapsed="false">
      <c r="A452" s="92" t="str">
        <f aca="false">SRC_Price!$A49&amp;""</f>
        <v/>
      </c>
      <c r="B452" s="61" t="s">
        <v>8478</v>
      </c>
      <c r="C452" s="60" t="n">
        <v>49</v>
      </c>
      <c r="D452" s="92" t="n">
        <f aca="false">SRC_Price!$O49</f>
        <v>0</v>
      </c>
      <c r="E452" s="92" t="n">
        <f aca="false">SRC_Price!$K49</f>
        <v>0</v>
      </c>
      <c r="F452" s="92" t="n">
        <f aca="false">SRC_Price!$S49</f>
        <v>0</v>
      </c>
    </row>
    <row r="453" customFormat="false" ht="15" hidden="false" customHeight="false" outlineLevel="0" collapsed="false">
      <c r="A453" s="92" t="str">
        <f aca="false">SRC_Price!$A50&amp;""</f>
        <v/>
      </c>
      <c r="B453" s="61" t="s">
        <v>8478</v>
      </c>
      <c r="C453" s="60" t="n">
        <v>50</v>
      </c>
      <c r="D453" s="92" t="n">
        <f aca="false">SRC_Price!$O50</f>
        <v>0</v>
      </c>
      <c r="E453" s="92" t="n">
        <f aca="false">SRC_Price!$K50</f>
        <v>0</v>
      </c>
      <c r="F453" s="92" t="n">
        <f aca="false">SRC_Price!$S50</f>
        <v>0</v>
      </c>
    </row>
    <row r="454" customFormat="false" ht="15" hidden="false" customHeight="false" outlineLevel="0" collapsed="false">
      <c r="A454" s="92" t="str">
        <f aca="false">SRC_Price!$A51&amp;""</f>
        <v/>
      </c>
      <c r="B454" s="61" t="s">
        <v>8478</v>
      </c>
      <c r="C454" s="60" t="n">
        <v>51</v>
      </c>
      <c r="D454" s="92" t="n">
        <f aca="false">SRC_Price!$O51</f>
        <v>0</v>
      </c>
      <c r="E454" s="92" t="n">
        <f aca="false">SRC_Price!$K51</f>
        <v>0</v>
      </c>
      <c r="F454" s="92" t="n">
        <f aca="false">SRC_Price!$S51</f>
        <v>0</v>
      </c>
    </row>
    <row r="455" customFormat="false" ht="15" hidden="false" customHeight="false" outlineLevel="0" collapsed="false">
      <c r="A455" s="92" t="str">
        <f aca="false">SRC_Price!$A52&amp;""</f>
        <v/>
      </c>
      <c r="B455" s="61" t="s">
        <v>8478</v>
      </c>
      <c r="C455" s="60" t="n">
        <v>52</v>
      </c>
      <c r="D455" s="92" t="n">
        <f aca="false">SRC_Price!$O52</f>
        <v>0</v>
      </c>
      <c r="E455" s="92" t="n">
        <f aca="false">SRC_Price!$K52</f>
        <v>0</v>
      </c>
      <c r="F455" s="92" t="n">
        <f aca="false">SRC_Price!$S52</f>
        <v>0</v>
      </c>
    </row>
    <row r="456" customFormat="false" ht="15" hidden="false" customHeight="false" outlineLevel="0" collapsed="false">
      <c r="A456" s="92" t="str">
        <f aca="false">SRC_Price!$A53&amp;""</f>
        <v/>
      </c>
      <c r="B456" s="61" t="s">
        <v>8478</v>
      </c>
      <c r="C456" s="60" t="n">
        <v>53</v>
      </c>
      <c r="D456" s="92" t="n">
        <f aca="false">SRC_Price!$O53</f>
        <v>0</v>
      </c>
      <c r="E456" s="92" t="n">
        <f aca="false">SRC_Price!$K53</f>
        <v>0</v>
      </c>
      <c r="F456" s="92" t="n">
        <f aca="false">SRC_Price!$S53</f>
        <v>0</v>
      </c>
    </row>
    <row r="457" customFormat="false" ht="15" hidden="false" customHeight="false" outlineLevel="0" collapsed="false">
      <c r="A457" s="92" t="str">
        <f aca="false">SRC_Price!$A54&amp;""</f>
        <v/>
      </c>
      <c r="B457" s="61" t="s">
        <v>8478</v>
      </c>
      <c r="C457" s="60" t="n">
        <v>54</v>
      </c>
      <c r="D457" s="92" t="n">
        <f aca="false">SRC_Price!$O54</f>
        <v>0</v>
      </c>
      <c r="E457" s="92" t="n">
        <f aca="false">SRC_Price!$K54</f>
        <v>0</v>
      </c>
      <c r="F457" s="92" t="n">
        <f aca="false">SRC_Price!$S54</f>
        <v>0</v>
      </c>
    </row>
    <row r="458" customFormat="false" ht="15" hidden="false" customHeight="false" outlineLevel="0" collapsed="false">
      <c r="A458" s="92" t="str">
        <f aca="false">SRC_Price!$A55&amp;""</f>
        <v/>
      </c>
      <c r="B458" s="61" t="s">
        <v>8478</v>
      </c>
      <c r="C458" s="60" t="n">
        <v>55</v>
      </c>
      <c r="D458" s="92" t="n">
        <f aca="false">SRC_Price!$O55</f>
        <v>0</v>
      </c>
      <c r="E458" s="92" t="n">
        <f aca="false">SRC_Price!$K55</f>
        <v>0</v>
      </c>
      <c r="F458" s="92" t="n">
        <f aca="false">SRC_Price!$S55</f>
        <v>0</v>
      </c>
    </row>
    <row r="459" customFormat="false" ht="15" hidden="false" customHeight="false" outlineLevel="0" collapsed="false">
      <c r="A459" s="92" t="str">
        <f aca="false">SRC_Price!$A56&amp;""</f>
        <v/>
      </c>
      <c r="B459" s="61" t="s">
        <v>8478</v>
      </c>
      <c r="C459" s="60" t="n">
        <v>56</v>
      </c>
      <c r="D459" s="92" t="n">
        <f aca="false">SRC_Price!$O56</f>
        <v>0</v>
      </c>
      <c r="E459" s="92" t="n">
        <f aca="false">SRC_Price!$K56</f>
        <v>0</v>
      </c>
      <c r="F459" s="92" t="n">
        <f aca="false">SRC_Price!$S56</f>
        <v>0</v>
      </c>
    </row>
    <row r="460" customFormat="false" ht="15" hidden="false" customHeight="false" outlineLevel="0" collapsed="false">
      <c r="A460" s="92" t="str">
        <f aca="false">SRC_Price!$A57&amp;""</f>
        <v/>
      </c>
      <c r="B460" s="61" t="s">
        <v>8478</v>
      </c>
      <c r="C460" s="60" t="n">
        <v>57</v>
      </c>
      <c r="D460" s="92" t="n">
        <f aca="false">SRC_Price!$O57</f>
        <v>0</v>
      </c>
      <c r="E460" s="92" t="n">
        <f aca="false">SRC_Price!$K57</f>
        <v>0</v>
      </c>
      <c r="F460" s="92" t="n">
        <f aca="false">SRC_Price!$S57</f>
        <v>0</v>
      </c>
    </row>
    <row r="461" customFormat="false" ht="15" hidden="false" customHeight="false" outlineLevel="0" collapsed="false">
      <c r="A461" s="92" t="str">
        <f aca="false">SRC_Price!$A58&amp;""</f>
        <v/>
      </c>
      <c r="B461" s="61" t="s">
        <v>8478</v>
      </c>
      <c r="C461" s="60" t="n">
        <v>58</v>
      </c>
      <c r="D461" s="92" t="n">
        <f aca="false">SRC_Price!$O58</f>
        <v>0</v>
      </c>
      <c r="E461" s="92" t="n">
        <f aca="false">SRC_Price!$K58</f>
        <v>0</v>
      </c>
      <c r="F461" s="92" t="n">
        <f aca="false">SRC_Price!$S58</f>
        <v>0</v>
      </c>
    </row>
    <row r="462" customFormat="false" ht="15" hidden="false" customHeight="false" outlineLevel="0" collapsed="false">
      <c r="A462" s="92" t="str">
        <f aca="false">SRC_Price!$A59&amp;""</f>
        <v/>
      </c>
      <c r="B462" s="61" t="s">
        <v>8478</v>
      </c>
      <c r="C462" s="60" t="n">
        <v>59</v>
      </c>
      <c r="D462" s="92" t="n">
        <f aca="false">SRC_Price!$O59</f>
        <v>0</v>
      </c>
      <c r="E462" s="92" t="n">
        <f aca="false">SRC_Price!$K59</f>
        <v>0</v>
      </c>
      <c r="F462" s="92" t="n">
        <f aca="false">SRC_Price!$S59</f>
        <v>0</v>
      </c>
    </row>
    <row r="463" customFormat="false" ht="15" hidden="false" customHeight="false" outlineLevel="0" collapsed="false">
      <c r="A463" s="92" t="str">
        <f aca="false">SRC_Price!$A60&amp;""</f>
        <v/>
      </c>
      <c r="B463" s="61" t="s">
        <v>8478</v>
      </c>
      <c r="C463" s="60" t="n">
        <v>60</v>
      </c>
      <c r="D463" s="92" t="n">
        <f aca="false">SRC_Price!$O60</f>
        <v>0</v>
      </c>
      <c r="E463" s="92" t="n">
        <f aca="false">SRC_Price!$K60</f>
        <v>0</v>
      </c>
      <c r="F463" s="92" t="n">
        <f aca="false">SRC_Price!$S60</f>
        <v>0</v>
      </c>
    </row>
    <row r="464" customFormat="false" ht="15" hidden="false" customHeight="false" outlineLevel="0" collapsed="false">
      <c r="A464" s="92" t="str">
        <f aca="false">SRC_Price!$A61&amp;""</f>
        <v/>
      </c>
      <c r="B464" s="61" t="s">
        <v>8478</v>
      </c>
      <c r="C464" s="60" t="n">
        <v>61</v>
      </c>
      <c r="D464" s="92" t="n">
        <f aca="false">SRC_Price!$O61</f>
        <v>0</v>
      </c>
      <c r="E464" s="92" t="n">
        <f aca="false">SRC_Price!$K61</f>
        <v>0</v>
      </c>
      <c r="F464" s="92" t="n">
        <f aca="false">SRC_Price!$S61</f>
        <v>0</v>
      </c>
    </row>
    <row r="465" customFormat="false" ht="15" hidden="false" customHeight="false" outlineLevel="0" collapsed="false">
      <c r="A465" s="92" t="str">
        <f aca="false">SRC_Price!$A62&amp;""</f>
        <v/>
      </c>
      <c r="B465" s="61" t="s">
        <v>8478</v>
      </c>
      <c r="C465" s="60" t="n">
        <v>62</v>
      </c>
      <c r="D465" s="92" t="n">
        <f aca="false">SRC_Price!$O62</f>
        <v>0</v>
      </c>
      <c r="E465" s="92" t="n">
        <f aca="false">SRC_Price!$K62</f>
        <v>0</v>
      </c>
      <c r="F465" s="92" t="n">
        <f aca="false">SRC_Price!$S62</f>
        <v>0</v>
      </c>
    </row>
    <row r="466" customFormat="false" ht="15" hidden="false" customHeight="false" outlineLevel="0" collapsed="false">
      <c r="A466" s="92" t="str">
        <f aca="false">SRC_Price!$A63&amp;""</f>
        <v/>
      </c>
      <c r="B466" s="61" t="s">
        <v>8478</v>
      </c>
      <c r="C466" s="60" t="n">
        <v>63</v>
      </c>
      <c r="D466" s="92" t="n">
        <f aca="false">SRC_Price!$O63</f>
        <v>0</v>
      </c>
      <c r="E466" s="92" t="n">
        <f aca="false">SRC_Price!$K63</f>
        <v>0</v>
      </c>
      <c r="F466" s="92" t="n">
        <f aca="false">SRC_Price!$S63</f>
        <v>0</v>
      </c>
    </row>
    <row r="467" customFormat="false" ht="15" hidden="false" customHeight="false" outlineLevel="0" collapsed="false">
      <c r="A467" s="92" t="str">
        <f aca="false">SRC_Price!$A64&amp;""</f>
        <v/>
      </c>
      <c r="B467" s="61" t="s">
        <v>8478</v>
      </c>
      <c r="C467" s="60" t="n">
        <v>64</v>
      </c>
      <c r="D467" s="92" t="n">
        <f aca="false">SRC_Price!$O64</f>
        <v>0</v>
      </c>
      <c r="E467" s="92" t="n">
        <f aca="false">SRC_Price!$K64</f>
        <v>0</v>
      </c>
      <c r="F467" s="92" t="n">
        <f aca="false">SRC_Price!$S64</f>
        <v>0</v>
      </c>
    </row>
    <row r="468" customFormat="false" ht="15" hidden="false" customHeight="false" outlineLevel="0" collapsed="false">
      <c r="A468" s="92" t="str">
        <f aca="false">SRC_Price!$A65&amp;""</f>
        <v/>
      </c>
      <c r="B468" s="61" t="s">
        <v>8478</v>
      </c>
      <c r="C468" s="60" t="n">
        <v>65</v>
      </c>
      <c r="D468" s="92" t="n">
        <f aca="false">SRC_Price!$O65</f>
        <v>0</v>
      </c>
      <c r="E468" s="92" t="n">
        <f aca="false">SRC_Price!$K65</f>
        <v>0</v>
      </c>
      <c r="F468" s="92" t="n">
        <f aca="false">SRC_Price!$S65</f>
        <v>0</v>
      </c>
    </row>
    <row r="469" customFormat="false" ht="15" hidden="false" customHeight="false" outlineLevel="0" collapsed="false">
      <c r="A469" s="92" t="str">
        <f aca="false">SRC_Price!$A66&amp;""</f>
        <v/>
      </c>
      <c r="B469" s="61" t="s">
        <v>8478</v>
      </c>
      <c r="C469" s="60" t="n">
        <v>66</v>
      </c>
      <c r="D469" s="92" t="n">
        <f aca="false">SRC_Price!$O66</f>
        <v>0</v>
      </c>
      <c r="E469" s="92" t="n">
        <f aca="false">SRC_Price!$K66</f>
        <v>0</v>
      </c>
      <c r="F469" s="92" t="n">
        <f aca="false">SRC_Price!$S66</f>
        <v>0</v>
      </c>
    </row>
    <row r="470" customFormat="false" ht="15" hidden="false" customHeight="false" outlineLevel="0" collapsed="false">
      <c r="A470" s="92" t="str">
        <f aca="false">SRC_Price!$A67&amp;""</f>
        <v/>
      </c>
      <c r="B470" s="61" t="s">
        <v>8478</v>
      </c>
      <c r="C470" s="60" t="n">
        <v>67</v>
      </c>
      <c r="D470" s="92" t="n">
        <f aca="false">SRC_Price!$O67</f>
        <v>0</v>
      </c>
      <c r="E470" s="92" t="n">
        <f aca="false">SRC_Price!$K67</f>
        <v>0</v>
      </c>
      <c r="F470" s="92" t="n">
        <f aca="false">SRC_Price!$S67</f>
        <v>0</v>
      </c>
    </row>
    <row r="471" customFormat="false" ht="15" hidden="false" customHeight="false" outlineLevel="0" collapsed="false">
      <c r="A471" s="92" t="str">
        <f aca="false">SRC_Price!$A68&amp;""</f>
        <v/>
      </c>
      <c r="B471" s="61" t="s">
        <v>8478</v>
      </c>
      <c r="C471" s="60" t="n">
        <v>68</v>
      </c>
      <c r="D471" s="92" t="n">
        <f aca="false">SRC_Price!$O68</f>
        <v>0</v>
      </c>
      <c r="E471" s="92" t="n">
        <f aca="false">SRC_Price!$K68</f>
        <v>0</v>
      </c>
      <c r="F471" s="92" t="n">
        <f aca="false">SRC_Price!$S68</f>
        <v>0</v>
      </c>
    </row>
    <row r="472" customFormat="false" ht="15" hidden="false" customHeight="false" outlineLevel="0" collapsed="false">
      <c r="A472" s="92" t="str">
        <f aca="false">SRC_Price!$A69&amp;""</f>
        <v/>
      </c>
      <c r="B472" s="61" t="s">
        <v>8478</v>
      </c>
      <c r="C472" s="60" t="n">
        <v>69</v>
      </c>
      <c r="D472" s="92" t="n">
        <f aca="false">SRC_Price!$O69</f>
        <v>0</v>
      </c>
      <c r="E472" s="92" t="n">
        <f aca="false">SRC_Price!$K69</f>
        <v>0</v>
      </c>
      <c r="F472" s="92" t="n">
        <f aca="false">SRC_Price!$S69</f>
        <v>0</v>
      </c>
    </row>
    <row r="473" customFormat="false" ht="15" hidden="false" customHeight="false" outlineLevel="0" collapsed="false">
      <c r="A473" s="92" t="str">
        <f aca="false">SRC_Price!$A70&amp;""</f>
        <v/>
      </c>
      <c r="B473" s="61" t="s">
        <v>8478</v>
      </c>
      <c r="C473" s="60" t="n">
        <v>70</v>
      </c>
      <c r="D473" s="92" t="n">
        <f aca="false">SRC_Price!$O70</f>
        <v>0</v>
      </c>
      <c r="E473" s="92" t="n">
        <f aca="false">SRC_Price!$K70</f>
        <v>0</v>
      </c>
      <c r="F473" s="92" t="n">
        <f aca="false">SRC_Price!$S70</f>
        <v>0</v>
      </c>
    </row>
    <row r="474" customFormat="false" ht="15" hidden="false" customHeight="false" outlineLevel="0" collapsed="false">
      <c r="A474" s="92" t="str">
        <f aca="false">SRC_Price!$A71&amp;""</f>
        <v/>
      </c>
      <c r="B474" s="61" t="s">
        <v>8478</v>
      </c>
      <c r="C474" s="60" t="n">
        <v>71</v>
      </c>
      <c r="D474" s="92" t="n">
        <f aca="false">SRC_Price!$O71</f>
        <v>0</v>
      </c>
      <c r="E474" s="92" t="n">
        <f aca="false">SRC_Price!$K71</f>
        <v>0</v>
      </c>
      <c r="F474" s="92" t="n">
        <f aca="false">SRC_Price!$S71</f>
        <v>0</v>
      </c>
    </row>
    <row r="475" customFormat="false" ht="15" hidden="false" customHeight="false" outlineLevel="0" collapsed="false">
      <c r="A475" s="92" t="str">
        <f aca="false">SRC_Price!$A72&amp;""</f>
        <v/>
      </c>
      <c r="B475" s="61" t="s">
        <v>8478</v>
      </c>
      <c r="C475" s="60" t="n">
        <v>72</v>
      </c>
      <c r="D475" s="92" t="n">
        <f aca="false">SRC_Price!$O72</f>
        <v>0</v>
      </c>
      <c r="E475" s="92" t="n">
        <f aca="false">SRC_Price!$K72</f>
        <v>0</v>
      </c>
      <c r="F475" s="92" t="n">
        <f aca="false">SRC_Price!$S72</f>
        <v>0</v>
      </c>
    </row>
    <row r="476" customFormat="false" ht="15" hidden="false" customHeight="false" outlineLevel="0" collapsed="false">
      <c r="A476" s="92" t="str">
        <f aca="false">SRC_Price!$A73&amp;""</f>
        <v/>
      </c>
      <c r="B476" s="61" t="s">
        <v>8478</v>
      </c>
      <c r="C476" s="60" t="n">
        <v>73</v>
      </c>
      <c r="D476" s="92" t="n">
        <f aca="false">SRC_Price!$O73</f>
        <v>0</v>
      </c>
      <c r="E476" s="92" t="n">
        <f aca="false">SRC_Price!$K73</f>
        <v>0</v>
      </c>
      <c r="F476" s="92" t="n">
        <f aca="false">SRC_Price!$S73</f>
        <v>0</v>
      </c>
    </row>
    <row r="477" customFormat="false" ht="15" hidden="false" customHeight="false" outlineLevel="0" collapsed="false">
      <c r="A477" s="92" t="str">
        <f aca="false">SRC_Price!$A74&amp;""</f>
        <v/>
      </c>
      <c r="B477" s="61" t="s">
        <v>8478</v>
      </c>
      <c r="C477" s="60" t="n">
        <v>74</v>
      </c>
      <c r="D477" s="92" t="n">
        <f aca="false">SRC_Price!$O74</f>
        <v>0</v>
      </c>
      <c r="E477" s="92" t="n">
        <f aca="false">SRC_Price!$K74</f>
        <v>0</v>
      </c>
      <c r="F477" s="92" t="n">
        <f aca="false">SRC_Price!$S74</f>
        <v>0</v>
      </c>
    </row>
    <row r="478" customFormat="false" ht="15" hidden="false" customHeight="false" outlineLevel="0" collapsed="false">
      <c r="A478" s="92" t="str">
        <f aca="false">SRC_Price!$A75&amp;""</f>
        <v/>
      </c>
      <c r="B478" s="61" t="s">
        <v>8478</v>
      </c>
      <c r="C478" s="60" t="n">
        <v>75</v>
      </c>
      <c r="D478" s="92" t="n">
        <f aca="false">SRC_Price!$O75</f>
        <v>0</v>
      </c>
      <c r="E478" s="92" t="n">
        <f aca="false">SRC_Price!$K75</f>
        <v>0</v>
      </c>
      <c r="F478" s="92" t="n">
        <f aca="false">SRC_Price!$S75</f>
        <v>0</v>
      </c>
    </row>
    <row r="479" customFormat="false" ht="15" hidden="false" customHeight="false" outlineLevel="0" collapsed="false">
      <c r="A479" s="92" t="str">
        <f aca="false">SRC_Price!$A76&amp;""</f>
        <v/>
      </c>
      <c r="B479" s="61" t="s">
        <v>8478</v>
      </c>
      <c r="C479" s="60" t="n">
        <v>76</v>
      </c>
      <c r="D479" s="92" t="n">
        <f aca="false">SRC_Price!$O76</f>
        <v>0</v>
      </c>
      <c r="E479" s="92" t="n">
        <f aca="false">SRC_Price!$K76</f>
        <v>0</v>
      </c>
      <c r="F479" s="92" t="n">
        <f aca="false">SRC_Price!$S76</f>
        <v>0</v>
      </c>
    </row>
    <row r="480" customFormat="false" ht="15" hidden="false" customHeight="false" outlineLevel="0" collapsed="false">
      <c r="A480" s="92" t="str">
        <f aca="false">SRC_Price!$A77&amp;""</f>
        <v/>
      </c>
      <c r="B480" s="61" t="s">
        <v>8478</v>
      </c>
      <c r="C480" s="60" t="n">
        <v>77</v>
      </c>
      <c r="D480" s="92" t="n">
        <f aca="false">SRC_Price!$O77</f>
        <v>0</v>
      </c>
      <c r="E480" s="92" t="n">
        <f aca="false">SRC_Price!$K77</f>
        <v>0</v>
      </c>
      <c r="F480" s="92" t="n">
        <f aca="false">SRC_Price!$S77</f>
        <v>0</v>
      </c>
    </row>
    <row r="481" customFormat="false" ht="15" hidden="false" customHeight="false" outlineLevel="0" collapsed="false">
      <c r="A481" s="92" t="str">
        <f aca="false">SRC_Price!$A78&amp;""</f>
        <v/>
      </c>
      <c r="B481" s="61" t="s">
        <v>8478</v>
      </c>
      <c r="C481" s="60" t="n">
        <v>78</v>
      </c>
      <c r="D481" s="92" t="n">
        <f aca="false">SRC_Price!$O78</f>
        <v>0</v>
      </c>
      <c r="E481" s="92" t="n">
        <f aca="false">SRC_Price!$K78</f>
        <v>0</v>
      </c>
      <c r="F481" s="92" t="n">
        <f aca="false">SRC_Price!$S78</f>
        <v>0</v>
      </c>
    </row>
    <row r="482" customFormat="false" ht="15" hidden="false" customHeight="false" outlineLevel="0" collapsed="false">
      <c r="A482" s="92" t="str">
        <f aca="false">SRC_Price!$A79&amp;""</f>
        <v/>
      </c>
      <c r="B482" s="61" t="s">
        <v>8478</v>
      </c>
      <c r="C482" s="60" t="n">
        <v>79</v>
      </c>
      <c r="D482" s="92" t="n">
        <f aca="false">SRC_Price!$O79</f>
        <v>0</v>
      </c>
      <c r="E482" s="92" t="n">
        <f aca="false">SRC_Price!$K79</f>
        <v>0</v>
      </c>
      <c r="F482" s="92" t="n">
        <f aca="false">SRC_Price!$S79</f>
        <v>0</v>
      </c>
    </row>
    <row r="483" customFormat="false" ht="15" hidden="false" customHeight="false" outlineLevel="0" collapsed="false">
      <c r="A483" s="92" t="str">
        <f aca="false">SRC_Price!$A80&amp;""</f>
        <v/>
      </c>
      <c r="B483" s="61" t="s">
        <v>8478</v>
      </c>
      <c r="C483" s="60" t="n">
        <v>80</v>
      </c>
      <c r="D483" s="92" t="n">
        <f aca="false">SRC_Price!$O80</f>
        <v>0</v>
      </c>
      <c r="E483" s="92" t="n">
        <f aca="false">SRC_Price!$K80</f>
        <v>0</v>
      </c>
      <c r="F483" s="92" t="n">
        <f aca="false">SRC_Price!$S80</f>
        <v>0</v>
      </c>
    </row>
    <row r="484" customFormat="false" ht="15" hidden="false" customHeight="false" outlineLevel="0" collapsed="false">
      <c r="A484" s="92" t="str">
        <f aca="false">SRC_Price!$A81&amp;""</f>
        <v/>
      </c>
      <c r="B484" s="61" t="s">
        <v>8478</v>
      </c>
      <c r="C484" s="60" t="n">
        <v>81</v>
      </c>
      <c r="D484" s="92" t="n">
        <f aca="false">SRC_Price!$O81</f>
        <v>0</v>
      </c>
      <c r="E484" s="92" t="n">
        <f aca="false">SRC_Price!$K81</f>
        <v>0</v>
      </c>
      <c r="F484" s="92" t="n">
        <f aca="false">SRC_Price!$S81</f>
        <v>0</v>
      </c>
    </row>
    <row r="485" customFormat="false" ht="15" hidden="false" customHeight="false" outlineLevel="0" collapsed="false">
      <c r="A485" s="92" t="str">
        <f aca="false">SRC_Price!$A82&amp;""</f>
        <v/>
      </c>
      <c r="B485" s="61" t="s">
        <v>8478</v>
      </c>
      <c r="C485" s="60" t="n">
        <v>82</v>
      </c>
      <c r="D485" s="92" t="n">
        <f aca="false">SRC_Price!$O82</f>
        <v>0</v>
      </c>
      <c r="E485" s="92" t="n">
        <f aca="false">SRC_Price!$K82</f>
        <v>0</v>
      </c>
      <c r="F485" s="92" t="n">
        <f aca="false">SRC_Price!$S82</f>
        <v>0</v>
      </c>
    </row>
    <row r="486" customFormat="false" ht="15" hidden="false" customHeight="false" outlineLevel="0" collapsed="false">
      <c r="A486" s="92" t="str">
        <f aca="false">SRC_Price!$A83&amp;""</f>
        <v/>
      </c>
      <c r="B486" s="61" t="s">
        <v>8478</v>
      </c>
      <c r="C486" s="60" t="n">
        <v>83</v>
      </c>
      <c r="D486" s="92" t="n">
        <f aca="false">SRC_Price!$O83</f>
        <v>0</v>
      </c>
      <c r="E486" s="92" t="n">
        <f aca="false">SRC_Price!$K83</f>
        <v>0</v>
      </c>
      <c r="F486" s="92" t="n">
        <f aca="false">SRC_Price!$S83</f>
        <v>0</v>
      </c>
    </row>
    <row r="487" customFormat="false" ht="15" hidden="false" customHeight="false" outlineLevel="0" collapsed="false">
      <c r="A487" s="92" t="str">
        <f aca="false">SRC_Price!$A84&amp;""</f>
        <v/>
      </c>
      <c r="B487" s="61" t="s">
        <v>8478</v>
      </c>
      <c r="C487" s="60" t="n">
        <v>84</v>
      </c>
      <c r="D487" s="92" t="n">
        <f aca="false">SRC_Price!$O84</f>
        <v>0</v>
      </c>
      <c r="E487" s="92" t="n">
        <f aca="false">SRC_Price!$K84</f>
        <v>0</v>
      </c>
      <c r="F487" s="92" t="n">
        <f aca="false">SRC_Price!$S84</f>
        <v>0</v>
      </c>
    </row>
    <row r="488" customFormat="false" ht="15" hidden="false" customHeight="false" outlineLevel="0" collapsed="false">
      <c r="A488" s="92" t="str">
        <f aca="false">SRC_Price!$A85&amp;""</f>
        <v/>
      </c>
      <c r="B488" s="61" t="s">
        <v>8478</v>
      </c>
      <c r="C488" s="60" t="n">
        <v>85</v>
      </c>
      <c r="D488" s="92" t="n">
        <f aca="false">SRC_Price!$O85</f>
        <v>0</v>
      </c>
      <c r="E488" s="92" t="n">
        <f aca="false">SRC_Price!$K85</f>
        <v>0</v>
      </c>
      <c r="F488" s="92" t="n">
        <f aca="false">SRC_Price!$S85</f>
        <v>0</v>
      </c>
    </row>
    <row r="489" customFormat="false" ht="15" hidden="false" customHeight="false" outlineLevel="0" collapsed="false">
      <c r="A489" s="92" t="str">
        <f aca="false">SRC_Price!$A86&amp;""</f>
        <v/>
      </c>
      <c r="B489" s="61" t="s">
        <v>8478</v>
      </c>
      <c r="C489" s="60" t="n">
        <v>86</v>
      </c>
      <c r="D489" s="92" t="n">
        <f aca="false">SRC_Price!$O86</f>
        <v>0</v>
      </c>
      <c r="E489" s="92" t="n">
        <f aca="false">SRC_Price!$K86</f>
        <v>0</v>
      </c>
      <c r="F489" s="92" t="n">
        <f aca="false">SRC_Price!$S86</f>
        <v>0</v>
      </c>
    </row>
    <row r="490" customFormat="false" ht="15" hidden="false" customHeight="false" outlineLevel="0" collapsed="false">
      <c r="A490" s="92" t="str">
        <f aca="false">SRC_Price!$A87&amp;""</f>
        <v/>
      </c>
      <c r="B490" s="61" t="s">
        <v>8478</v>
      </c>
      <c r="C490" s="60" t="n">
        <v>87</v>
      </c>
      <c r="D490" s="92" t="n">
        <f aca="false">SRC_Price!$O87</f>
        <v>0</v>
      </c>
      <c r="E490" s="92" t="n">
        <f aca="false">SRC_Price!$K87</f>
        <v>0</v>
      </c>
      <c r="F490" s="92" t="n">
        <f aca="false">SRC_Price!$S87</f>
        <v>0</v>
      </c>
    </row>
    <row r="491" customFormat="false" ht="15" hidden="false" customHeight="false" outlineLevel="0" collapsed="false">
      <c r="A491" s="92" t="str">
        <f aca="false">SRC_Price!$A88&amp;""</f>
        <v/>
      </c>
      <c r="B491" s="61" t="s">
        <v>8478</v>
      </c>
      <c r="C491" s="60" t="n">
        <v>88</v>
      </c>
      <c r="D491" s="92" t="n">
        <f aca="false">SRC_Price!$O88</f>
        <v>0</v>
      </c>
      <c r="E491" s="92" t="n">
        <f aca="false">SRC_Price!$K88</f>
        <v>0</v>
      </c>
      <c r="F491" s="92" t="n">
        <f aca="false">SRC_Price!$S88</f>
        <v>0</v>
      </c>
    </row>
    <row r="492" customFormat="false" ht="15" hidden="false" customHeight="false" outlineLevel="0" collapsed="false">
      <c r="A492" s="92" t="str">
        <f aca="false">SRC_Price!$A89&amp;""</f>
        <v/>
      </c>
      <c r="B492" s="61" t="s">
        <v>8478</v>
      </c>
      <c r="C492" s="60" t="n">
        <v>89</v>
      </c>
      <c r="D492" s="92" t="n">
        <f aca="false">SRC_Price!$O89</f>
        <v>0</v>
      </c>
      <c r="E492" s="92" t="n">
        <f aca="false">SRC_Price!$K89</f>
        <v>0</v>
      </c>
      <c r="F492" s="92" t="n">
        <f aca="false">SRC_Price!$S89</f>
        <v>0</v>
      </c>
    </row>
    <row r="493" customFormat="false" ht="15" hidden="false" customHeight="false" outlineLevel="0" collapsed="false">
      <c r="A493" s="92" t="str">
        <f aca="false">SRC_Price!$A90&amp;""</f>
        <v/>
      </c>
      <c r="B493" s="61" t="s">
        <v>8478</v>
      </c>
      <c r="C493" s="60" t="n">
        <v>90</v>
      </c>
      <c r="D493" s="92" t="n">
        <f aca="false">SRC_Price!$O90</f>
        <v>0</v>
      </c>
      <c r="E493" s="92" t="n">
        <f aca="false">SRC_Price!$K90</f>
        <v>0</v>
      </c>
      <c r="F493" s="92" t="n">
        <f aca="false">SRC_Price!$S90</f>
        <v>0</v>
      </c>
    </row>
    <row r="494" customFormat="false" ht="15" hidden="false" customHeight="false" outlineLevel="0" collapsed="false">
      <c r="A494" s="92" t="str">
        <f aca="false">SRC_Price!$A91&amp;""</f>
        <v/>
      </c>
      <c r="B494" s="61" t="s">
        <v>8478</v>
      </c>
      <c r="C494" s="60" t="n">
        <v>91</v>
      </c>
      <c r="D494" s="92" t="n">
        <f aca="false">SRC_Price!$O91</f>
        <v>0</v>
      </c>
      <c r="E494" s="92" t="n">
        <f aca="false">SRC_Price!$K91</f>
        <v>0</v>
      </c>
      <c r="F494" s="92" t="n">
        <f aca="false">SRC_Price!$S91</f>
        <v>0</v>
      </c>
    </row>
    <row r="495" customFormat="false" ht="15" hidden="false" customHeight="false" outlineLevel="0" collapsed="false">
      <c r="A495" s="92" t="str">
        <f aca="false">SRC_Price!$A92&amp;""</f>
        <v/>
      </c>
      <c r="B495" s="61" t="s">
        <v>8478</v>
      </c>
      <c r="C495" s="60" t="n">
        <v>92</v>
      </c>
      <c r="D495" s="92" t="n">
        <f aca="false">SRC_Price!$O92</f>
        <v>0</v>
      </c>
      <c r="E495" s="92" t="n">
        <f aca="false">SRC_Price!$K92</f>
        <v>0</v>
      </c>
      <c r="F495" s="92" t="n">
        <f aca="false">SRC_Price!$S92</f>
        <v>0</v>
      </c>
    </row>
    <row r="496" customFormat="false" ht="15" hidden="false" customHeight="false" outlineLevel="0" collapsed="false">
      <c r="A496" s="92" t="str">
        <f aca="false">SRC_Price!$A93&amp;""</f>
        <v/>
      </c>
      <c r="B496" s="61" t="s">
        <v>8478</v>
      </c>
      <c r="C496" s="60" t="n">
        <v>93</v>
      </c>
      <c r="D496" s="92" t="n">
        <f aca="false">SRC_Price!$O93</f>
        <v>0</v>
      </c>
      <c r="E496" s="92" t="n">
        <f aca="false">SRC_Price!$K93</f>
        <v>0</v>
      </c>
      <c r="F496" s="92" t="n">
        <f aca="false">SRC_Price!$S93</f>
        <v>0</v>
      </c>
    </row>
    <row r="497" customFormat="false" ht="15" hidden="false" customHeight="false" outlineLevel="0" collapsed="false">
      <c r="A497" s="92" t="str">
        <f aca="false">SRC_Price!$A94&amp;""</f>
        <v/>
      </c>
      <c r="B497" s="61" t="s">
        <v>8478</v>
      </c>
      <c r="C497" s="60" t="n">
        <v>94</v>
      </c>
      <c r="D497" s="92" t="n">
        <f aca="false">SRC_Price!$O94</f>
        <v>0</v>
      </c>
      <c r="E497" s="92" t="n">
        <f aca="false">SRC_Price!$K94</f>
        <v>0</v>
      </c>
      <c r="F497" s="92" t="n">
        <f aca="false">SRC_Price!$S94</f>
        <v>0</v>
      </c>
    </row>
    <row r="498" customFormat="false" ht="15" hidden="false" customHeight="false" outlineLevel="0" collapsed="false">
      <c r="A498" s="92" t="str">
        <f aca="false">SRC_Price!$A95&amp;""</f>
        <v/>
      </c>
      <c r="B498" s="61" t="s">
        <v>8478</v>
      </c>
      <c r="C498" s="60" t="n">
        <v>95</v>
      </c>
      <c r="D498" s="92" t="n">
        <f aca="false">SRC_Price!$O95</f>
        <v>0</v>
      </c>
      <c r="E498" s="92" t="n">
        <f aca="false">SRC_Price!$K95</f>
        <v>0</v>
      </c>
      <c r="F498" s="92" t="n">
        <f aca="false">SRC_Price!$S95</f>
        <v>0</v>
      </c>
    </row>
    <row r="499" customFormat="false" ht="15" hidden="false" customHeight="false" outlineLevel="0" collapsed="false">
      <c r="A499" s="92" t="str">
        <f aca="false">SRC_Price!$A96&amp;""</f>
        <v/>
      </c>
      <c r="B499" s="61" t="s">
        <v>8478</v>
      </c>
      <c r="C499" s="60" t="n">
        <v>96</v>
      </c>
      <c r="D499" s="92" t="n">
        <f aca="false">SRC_Price!$O96</f>
        <v>0</v>
      </c>
      <c r="E499" s="92" t="n">
        <f aca="false">SRC_Price!$K96</f>
        <v>0</v>
      </c>
      <c r="F499" s="92" t="n">
        <f aca="false">SRC_Price!$S96</f>
        <v>0</v>
      </c>
    </row>
    <row r="500" customFormat="false" ht="15" hidden="false" customHeight="false" outlineLevel="0" collapsed="false">
      <c r="A500" s="92" t="str">
        <f aca="false">SRC_Price!$A97&amp;""</f>
        <v/>
      </c>
      <c r="B500" s="61" t="s">
        <v>8478</v>
      </c>
      <c r="C500" s="60" t="n">
        <v>97</v>
      </c>
      <c r="D500" s="92" t="n">
        <f aca="false">SRC_Price!$O97</f>
        <v>0</v>
      </c>
      <c r="E500" s="92" t="n">
        <f aca="false">SRC_Price!$K97</f>
        <v>0</v>
      </c>
      <c r="F500" s="92" t="n">
        <f aca="false">SRC_Price!$S97</f>
        <v>0</v>
      </c>
    </row>
    <row r="501" customFormat="false" ht="15" hidden="false" customHeight="false" outlineLevel="0" collapsed="false">
      <c r="A501" s="92" t="str">
        <f aca="false">SRC_Price!$A98&amp;""</f>
        <v/>
      </c>
      <c r="B501" s="61" t="s">
        <v>8478</v>
      </c>
      <c r="C501" s="60" t="n">
        <v>98</v>
      </c>
      <c r="D501" s="92" t="n">
        <f aca="false">SRC_Price!$O98</f>
        <v>0</v>
      </c>
      <c r="E501" s="92" t="n">
        <f aca="false">SRC_Price!$K98</f>
        <v>0</v>
      </c>
      <c r="F501" s="92" t="n">
        <f aca="false">SRC_Price!$S98</f>
        <v>0</v>
      </c>
    </row>
    <row r="502" customFormat="false" ht="15" hidden="false" customHeight="false" outlineLevel="0" collapsed="false">
      <c r="A502" s="92" t="str">
        <f aca="false">SRC_Cap!$A5&amp;""</f>
        <v>SRC_CAP_001</v>
      </c>
      <c r="B502" s="61" t="s">
        <v>8479</v>
      </c>
      <c r="C502" s="60" t="n">
        <v>5</v>
      </c>
      <c r="D502" s="92" t="str">
        <f aca="false">SRC_Cap!$O5</f>
        <v>Active</v>
      </c>
      <c r="E502" s="92" t="n">
        <f aca="false">SRC_Cap!$K5</f>
        <v>2</v>
      </c>
      <c r="F502" s="92" t="str">
        <f aca="false">SRC_Cap!$S5</f>
        <v>—</v>
      </c>
    </row>
    <row r="503" customFormat="false" ht="15" hidden="false" customHeight="false" outlineLevel="0" collapsed="false">
      <c r="A503" s="92" t="str">
        <f aca="false">SRC_Cap!$A6&amp;""</f>
        <v>SRC_CAP_002</v>
      </c>
      <c r="B503" s="61" t="s">
        <v>8479</v>
      </c>
      <c r="C503" s="60" t="n">
        <v>6</v>
      </c>
      <c r="D503" s="92" t="str">
        <f aca="false">SRC_Cap!$O6</f>
        <v>Active</v>
      </c>
      <c r="E503" s="92" t="n">
        <f aca="false">SRC_Cap!$K6</f>
        <v>2</v>
      </c>
      <c r="F503" s="92" t="str">
        <f aca="false">SRC_Cap!$S6</f>
        <v>—</v>
      </c>
    </row>
    <row r="504" customFormat="false" ht="15" hidden="false" customHeight="false" outlineLevel="0" collapsed="false">
      <c r="A504" s="92" t="str">
        <f aca="false">SRC_Cap!$A7&amp;""</f>
        <v>SRC_CAP_003</v>
      </c>
      <c r="B504" s="61" t="s">
        <v>8479</v>
      </c>
      <c r="C504" s="60" t="n">
        <v>7</v>
      </c>
      <c r="D504" s="92" t="str">
        <f aca="false">SRC_Cap!$O7</f>
        <v>Active</v>
      </c>
      <c r="E504" s="92" t="n">
        <f aca="false">SRC_Cap!$K7</f>
        <v>2</v>
      </c>
      <c r="F504" s="92" t="str">
        <f aca="false">SRC_Cap!$S7</f>
        <v>—</v>
      </c>
    </row>
    <row r="505" customFormat="false" ht="15" hidden="false" customHeight="false" outlineLevel="0" collapsed="false">
      <c r="A505" s="92" t="str">
        <f aca="false">SRC_Cap!$A8&amp;""</f>
        <v>SRC_CAP_004</v>
      </c>
      <c r="B505" s="61" t="s">
        <v>8479</v>
      </c>
      <c r="C505" s="60" t="n">
        <v>8</v>
      </c>
      <c r="D505" s="92" t="str">
        <f aca="false">SRC_Cap!$O8</f>
        <v>Active</v>
      </c>
      <c r="E505" s="92" t="n">
        <f aca="false">SRC_Cap!$K8</f>
        <v>2</v>
      </c>
      <c r="F505" s="92" t="str">
        <f aca="false">SRC_Cap!$S8</f>
        <v>—</v>
      </c>
    </row>
    <row r="506" customFormat="false" ht="15" hidden="false" customHeight="false" outlineLevel="0" collapsed="false">
      <c r="A506" s="92" t="str">
        <f aca="false">SRC_Cap!$A9&amp;""</f>
        <v>SRC_CAP_005</v>
      </c>
      <c r="B506" s="61" t="s">
        <v>8479</v>
      </c>
      <c r="C506" s="60" t="n">
        <v>9</v>
      </c>
      <c r="D506" s="92" t="str">
        <f aca="false">SRC_Cap!$O9</f>
        <v>Active</v>
      </c>
      <c r="E506" s="92" t="n">
        <f aca="false">SRC_Cap!$K9</f>
        <v>2</v>
      </c>
      <c r="F506" s="92" t="str">
        <f aca="false">SRC_Cap!$S9</f>
        <v>—</v>
      </c>
    </row>
    <row r="507" customFormat="false" ht="15" hidden="false" customHeight="false" outlineLevel="0" collapsed="false">
      <c r="A507" s="92" t="str">
        <f aca="false">SRC_Cap!$A10&amp;""</f>
        <v>SRC_CAP_006</v>
      </c>
      <c r="B507" s="61" t="s">
        <v>8479</v>
      </c>
      <c r="C507" s="60" t="n">
        <v>10</v>
      </c>
      <c r="D507" s="92" t="str">
        <f aca="false">SRC_Cap!$O10</f>
        <v>Active</v>
      </c>
      <c r="E507" s="92" t="n">
        <f aca="false">SRC_Cap!$K10</f>
        <v>2</v>
      </c>
      <c r="F507" s="92" t="str">
        <f aca="false">SRC_Cap!$S10</f>
        <v>—</v>
      </c>
    </row>
    <row r="508" customFormat="false" ht="15" hidden="false" customHeight="false" outlineLevel="0" collapsed="false">
      <c r="A508" s="92" t="str">
        <f aca="false">SRC_Cap!$A11&amp;""</f>
        <v>SRC_CAP_007</v>
      </c>
      <c r="B508" s="61" t="s">
        <v>8479</v>
      </c>
      <c r="C508" s="60" t="n">
        <v>11</v>
      </c>
      <c r="D508" s="92" t="str">
        <f aca="false">SRC_Cap!$O11</f>
        <v>Active</v>
      </c>
      <c r="E508" s="92" t="n">
        <f aca="false">SRC_Cap!$K11</f>
        <v>2</v>
      </c>
      <c r="F508" s="92" t="str">
        <f aca="false">SRC_Cap!$S11</f>
        <v>—</v>
      </c>
    </row>
    <row r="509" customFormat="false" ht="15" hidden="false" customHeight="false" outlineLevel="0" collapsed="false">
      <c r="A509" s="92" t="str">
        <f aca="false">SRC_Cap!$A12&amp;""</f>
        <v>SRC_CAP_008</v>
      </c>
      <c r="B509" s="61" t="s">
        <v>8479</v>
      </c>
      <c r="C509" s="60" t="n">
        <v>12</v>
      </c>
      <c r="D509" s="92" t="str">
        <f aca="false">SRC_Cap!$O12</f>
        <v>Active</v>
      </c>
      <c r="E509" s="92" t="n">
        <f aca="false">SRC_Cap!$K12</f>
        <v>1</v>
      </c>
      <c r="F509" s="92" t="str">
        <f aca="false">SRC_Cap!$S12</f>
        <v>2026-10-05</v>
      </c>
    </row>
    <row r="510" customFormat="false" ht="15" hidden="false" customHeight="false" outlineLevel="0" collapsed="false">
      <c r="A510" s="92" t="str">
        <f aca="false">SRC_Cap!$A13&amp;""</f>
        <v>SRC_CAP_009</v>
      </c>
      <c r="B510" s="61" t="s">
        <v>8479</v>
      </c>
      <c r="C510" s="60" t="n">
        <v>13</v>
      </c>
      <c r="D510" s="92" t="str">
        <f aca="false">SRC_Cap!$O13</f>
        <v>Active</v>
      </c>
      <c r="E510" s="92" t="n">
        <f aca="false">SRC_Cap!$K13</f>
        <v>3</v>
      </c>
      <c r="F510" s="92" t="str">
        <f aca="false">SRC_Cap!$S13</f>
        <v>—</v>
      </c>
    </row>
    <row r="511" customFormat="false" ht="15" hidden="false" customHeight="false" outlineLevel="0" collapsed="false">
      <c r="A511" s="92" t="str">
        <f aca="false">SRC_Cap!$A14&amp;""</f>
        <v>SRC_CAP_010</v>
      </c>
      <c r="B511" s="61" t="s">
        <v>8479</v>
      </c>
      <c r="C511" s="60" t="n">
        <v>14</v>
      </c>
      <c r="D511" s="92" t="str">
        <f aca="false">SRC_Cap!$O14</f>
        <v>Active</v>
      </c>
      <c r="E511" s="92" t="n">
        <f aca="false">SRC_Cap!$K14</f>
        <v>3</v>
      </c>
      <c r="F511" s="92" t="str">
        <f aca="false">SRC_Cap!$S14</f>
        <v>—</v>
      </c>
    </row>
    <row r="512" customFormat="false" ht="15" hidden="false" customHeight="false" outlineLevel="0" collapsed="false">
      <c r="A512" s="92" t="str">
        <f aca="false">SRC_Cap!$A15&amp;""</f>
        <v>SRC_CAP_011</v>
      </c>
      <c r="B512" s="61" t="s">
        <v>8479</v>
      </c>
      <c r="C512" s="60" t="n">
        <v>15</v>
      </c>
      <c r="D512" s="92" t="str">
        <f aca="false">SRC_Cap!$O15</f>
        <v>Active</v>
      </c>
      <c r="E512" s="92" t="n">
        <f aca="false">SRC_Cap!$K15</f>
        <v>1</v>
      </c>
      <c r="F512" s="92" t="str">
        <f aca="false">SRC_Cap!$S15</f>
        <v>2026-10-05</v>
      </c>
    </row>
    <row r="513" customFormat="false" ht="15" hidden="false" customHeight="false" outlineLevel="0" collapsed="false">
      <c r="A513" s="92" t="str">
        <f aca="false">SRC_Cap!$A16&amp;""</f>
        <v>SRC_CAP_012</v>
      </c>
      <c r="B513" s="61" t="s">
        <v>8479</v>
      </c>
      <c r="C513" s="60" t="n">
        <v>16</v>
      </c>
      <c r="D513" s="92" t="str">
        <f aca="false">SRC_Cap!$O16</f>
        <v>Active</v>
      </c>
      <c r="E513" s="92" t="n">
        <f aca="false">SRC_Cap!$K16</f>
        <v>2</v>
      </c>
      <c r="F513" s="92" t="str">
        <f aca="false">SRC_Cap!$S16</f>
        <v>—</v>
      </c>
    </row>
    <row r="514" customFormat="false" ht="15" hidden="false" customHeight="false" outlineLevel="0" collapsed="false">
      <c r="A514" s="92" t="str">
        <f aca="false">SRC_Cap!$A17&amp;""</f>
        <v>SRC_CAP_013</v>
      </c>
      <c r="B514" s="61" t="s">
        <v>8479</v>
      </c>
      <c r="C514" s="60" t="n">
        <v>17</v>
      </c>
      <c r="D514" s="92" t="str">
        <f aca="false">SRC_Cap!$O17</f>
        <v>Active</v>
      </c>
      <c r="E514" s="92" t="n">
        <f aca="false">SRC_Cap!$K17</f>
        <v>2</v>
      </c>
      <c r="F514" s="92" t="str">
        <f aca="false">SRC_Cap!$S17</f>
        <v>—</v>
      </c>
    </row>
    <row r="515" customFormat="false" ht="15" hidden="false" customHeight="false" outlineLevel="0" collapsed="false">
      <c r="A515" s="92" t="str">
        <f aca="false">SRC_Cap!$A18&amp;""</f>
        <v>SRC_CAP_014</v>
      </c>
      <c r="B515" s="61" t="s">
        <v>8479</v>
      </c>
      <c r="C515" s="60" t="n">
        <v>18</v>
      </c>
      <c r="D515" s="92" t="str">
        <f aca="false">SRC_Cap!$O18</f>
        <v>Active</v>
      </c>
      <c r="E515" s="92" t="n">
        <f aca="false">SRC_Cap!$K18</f>
        <v>2</v>
      </c>
      <c r="F515" s="92" t="str">
        <f aca="false">SRC_Cap!$S18</f>
        <v>—</v>
      </c>
    </row>
    <row r="516" customFormat="false" ht="15" hidden="false" customHeight="false" outlineLevel="0" collapsed="false">
      <c r="A516" s="92" t="str">
        <f aca="false">SRC_Cap!$A19&amp;""</f>
        <v>SRC_CAP_015</v>
      </c>
      <c r="B516" s="61" t="s">
        <v>8479</v>
      </c>
      <c r="C516" s="60" t="n">
        <v>19</v>
      </c>
      <c r="D516" s="92" t="str">
        <f aca="false">SRC_Cap!$O19</f>
        <v>Active</v>
      </c>
      <c r="E516" s="92" t="n">
        <f aca="false">SRC_Cap!$K19</f>
        <v>2</v>
      </c>
      <c r="F516" s="92" t="str">
        <f aca="false">SRC_Cap!$S19</f>
        <v>—</v>
      </c>
    </row>
    <row r="517" customFormat="false" ht="15" hidden="false" customHeight="false" outlineLevel="0" collapsed="false">
      <c r="A517" s="92" t="str">
        <f aca="false">SRC_Cap!$A20&amp;""</f>
        <v>SRC_CAP_016</v>
      </c>
      <c r="B517" s="61" t="s">
        <v>8479</v>
      </c>
      <c r="C517" s="60" t="n">
        <v>20</v>
      </c>
      <c r="D517" s="92" t="str">
        <f aca="false">SRC_Cap!$O20</f>
        <v>Active</v>
      </c>
      <c r="E517" s="92" t="n">
        <f aca="false">SRC_Cap!$K20</f>
        <v>2</v>
      </c>
      <c r="F517" s="92" t="str">
        <f aca="false">SRC_Cap!$S20</f>
        <v>—</v>
      </c>
    </row>
    <row r="518" customFormat="false" ht="15" hidden="false" customHeight="false" outlineLevel="0" collapsed="false">
      <c r="A518" s="92" t="str">
        <f aca="false">SRC_Cap!$A21&amp;""</f>
        <v>SRC_CAP_017</v>
      </c>
      <c r="B518" s="61" t="s">
        <v>8479</v>
      </c>
      <c r="C518" s="60" t="n">
        <v>21</v>
      </c>
      <c r="D518" s="92" t="str">
        <f aca="false">SRC_Cap!$O21</f>
        <v>Active</v>
      </c>
      <c r="E518" s="92" t="n">
        <f aca="false">SRC_Cap!$K21</f>
        <v>2</v>
      </c>
      <c r="F518" s="92" t="str">
        <f aca="false">SRC_Cap!$S21</f>
        <v>—</v>
      </c>
    </row>
    <row r="519" customFormat="false" ht="15" hidden="false" customHeight="false" outlineLevel="0" collapsed="false">
      <c r="A519" s="92" t="str">
        <f aca="false">SRC_Cap!$A22&amp;""</f>
        <v>SRC_CAP_018</v>
      </c>
      <c r="B519" s="61" t="s">
        <v>8479</v>
      </c>
      <c r="C519" s="60" t="n">
        <v>22</v>
      </c>
      <c r="D519" s="92" t="str">
        <f aca="false">SRC_Cap!$O22</f>
        <v>Active</v>
      </c>
      <c r="E519" s="92" t="n">
        <f aca="false">SRC_Cap!$K22</f>
        <v>2</v>
      </c>
      <c r="F519" s="92" t="str">
        <f aca="false">SRC_Cap!$S22</f>
        <v>—</v>
      </c>
    </row>
    <row r="520" customFormat="false" ht="15" hidden="false" customHeight="false" outlineLevel="0" collapsed="false">
      <c r="A520" s="92" t="str">
        <f aca="false">SRC_Cap!$A23&amp;""</f>
        <v>SRC_CAP_019</v>
      </c>
      <c r="B520" s="61" t="s">
        <v>8479</v>
      </c>
      <c r="C520" s="60" t="n">
        <v>23</v>
      </c>
      <c r="D520" s="92" t="str">
        <f aca="false">SRC_Cap!$O23</f>
        <v>Active</v>
      </c>
      <c r="E520" s="92" t="n">
        <f aca="false">SRC_Cap!$K23</f>
        <v>2</v>
      </c>
      <c r="F520" s="92" t="str">
        <f aca="false">SRC_Cap!$S23</f>
        <v>—</v>
      </c>
    </row>
    <row r="521" customFormat="false" ht="15" hidden="false" customHeight="false" outlineLevel="0" collapsed="false">
      <c r="A521" s="92" t="str">
        <f aca="false">SRC_Cap!$A24&amp;""</f>
        <v>SRC_CAP_020</v>
      </c>
      <c r="B521" s="61" t="s">
        <v>8479</v>
      </c>
      <c r="C521" s="60" t="n">
        <v>24</v>
      </c>
      <c r="D521" s="92" t="str">
        <f aca="false">SRC_Cap!$O24</f>
        <v>Active</v>
      </c>
      <c r="E521" s="92" t="n">
        <f aca="false">SRC_Cap!$K24</f>
        <v>2</v>
      </c>
      <c r="F521" s="92" t="str">
        <f aca="false">SRC_Cap!$S24</f>
        <v>—</v>
      </c>
    </row>
    <row r="522" customFormat="false" ht="15" hidden="false" customHeight="false" outlineLevel="0" collapsed="false">
      <c r="A522" s="92" t="str">
        <f aca="false">SRC_Cap!$A25&amp;""</f>
        <v>SRC_CAP_021</v>
      </c>
      <c r="B522" s="61" t="s">
        <v>8479</v>
      </c>
      <c r="C522" s="60" t="n">
        <v>25</v>
      </c>
      <c r="D522" s="92" t="str">
        <f aca="false">SRC_Cap!$O25</f>
        <v>Active</v>
      </c>
      <c r="E522" s="92" t="n">
        <f aca="false">SRC_Cap!$K25</f>
        <v>2</v>
      </c>
      <c r="F522" s="92" t="str">
        <f aca="false">SRC_Cap!$S25</f>
        <v>—</v>
      </c>
    </row>
    <row r="523" customFormat="false" ht="15" hidden="false" customHeight="false" outlineLevel="0" collapsed="false">
      <c r="A523" s="92" t="str">
        <f aca="false">SRC_Cap!$A26&amp;""</f>
        <v/>
      </c>
      <c r="B523" s="61" t="s">
        <v>8479</v>
      </c>
      <c r="C523" s="60" t="n">
        <v>26</v>
      </c>
      <c r="D523" s="92" t="n">
        <f aca="false">SRC_Cap!$O26</f>
        <v>0</v>
      </c>
      <c r="E523" s="92" t="n">
        <f aca="false">SRC_Cap!$K26</f>
        <v>0</v>
      </c>
      <c r="F523" s="92" t="n">
        <f aca="false">SRC_Cap!$S26</f>
        <v>0</v>
      </c>
    </row>
    <row r="524" customFormat="false" ht="15" hidden="false" customHeight="false" outlineLevel="0" collapsed="false">
      <c r="A524" s="92" t="str">
        <f aca="false">SRC_Cap!$A27&amp;""</f>
        <v/>
      </c>
      <c r="B524" s="61" t="s">
        <v>8479</v>
      </c>
      <c r="C524" s="60" t="n">
        <v>27</v>
      </c>
      <c r="D524" s="92" t="n">
        <f aca="false">SRC_Cap!$O27</f>
        <v>0</v>
      </c>
      <c r="E524" s="92" t="n">
        <f aca="false">SRC_Cap!$K27</f>
        <v>0</v>
      </c>
      <c r="F524" s="92" t="n">
        <f aca="false">SRC_Cap!$S27</f>
        <v>0</v>
      </c>
    </row>
    <row r="525" customFormat="false" ht="15" hidden="false" customHeight="false" outlineLevel="0" collapsed="false">
      <c r="A525" s="92" t="str">
        <f aca="false">SRC_Cap!$A28&amp;""</f>
        <v/>
      </c>
      <c r="B525" s="61" t="s">
        <v>8479</v>
      </c>
      <c r="C525" s="60" t="n">
        <v>28</v>
      </c>
      <c r="D525" s="92" t="n">
        <f aca="false">SRC_Cap!$O28</f>
        <v>0</v>
      </c>
      <c r="E525" s="92" t="n">
        <f aca="false">SRC_Cap!$K28</f>
        <v>0</v>
      </c>
      <c r="F525" s="92" t="n">
        <f aca="false">SRC_Cap!$S28</f>
        <v>0</v>
      </c>
    </row>
    <row r="526" customFormat="false" ht="15" hidden="false" customHeight="false" outlineLevel="0" collapsed="false">
      <c r="A526" s="92" t="str">
        <f aca="false">SRC_Cap!$A29&amp;""</f>
        <v/>
      </c>
      <c r="B526" s="61" t="s">
        <v>8479</v>
      </c>
      <c r="C526" s="60" t="n">
        <v>29</v>
      </c>
      <c r="D526" s="92" t="n">
        <f aca="false">SRC_Cap!$O29</f>
        <v>0</v>
      </c>
      <c r="E526" s="92" t="n">
        <f aca="false">SRC_Cap!$K29</f>
        <v>0</v>
      </c>
      <c r="F526" s="92" t="n">
        <f aca="false">SRC_Cap!$S29</f>
        <v>0</v>
      </c>
    </row>
    <row r="527" customFormat="false" ht="15" hidden="false" customHeight="false" outlineLevel="0" collapsed="false">
      <c r="A527" s="92" t="str">
        <f aca="false">SRC_Cap!$A30&amp;""</f>
        <v/>
      </c>
      <c r="B527" s="61" t="s">
        <v>8479</v>
      </c>
      <c r="C527" s="60" t="n">
        <v>30</v>
      </c>
      <c r="D527" s="92" t="n">
        <f aca="false">SRC_Cap!$O30</f>
        <v>0</v>
      </c>
      <c r="E527" s="92" t="n">
        <f aca="false">SRC_Cap!$K30</f>
        <v>0</v>
      </c>
      <c r="F527" s="92" t="n">
        <f aca="false">SRC_Cap!$S30</f>
        <v>0</v>
      </c>
    </row>
    <row r="528" customFormat="false" ht="15" hidden="false" customHeight="false" outlineLevel="0" collapsed="false">
      <c r="A528" s="92" t="str">
        <f aca="false">SRC_Cap!$A31&amp;""</f>
        <v/>
      </c>
      <c r="B528" s="61" t="s">
        <v>8479</v>
      </c>
      <c r="C528" s="60" t="n">
        <v>31</v>
      </c>
      <c r="D528" s="92" t="n">
        <f aca="false">SRC_Cap!$O31</f>
        <v>0</v>
      </c>
      <c r="E528" s="92" t="n">
        <f aca="false">SRC_Cap!$K31</f>
        <v>0</v>
      </c>
      <c r="F528" s="92" t="n">
        <f aca="false">SRC_Cap!$S31</f>
        <v>0</v>
      </c>
    </row>
    <row r="529" customFormat="false" ht="15" hidden="false" customHeight="false" outlineLevel="0" collapsed="false">
      <c r="A529" s="92" t="str">
        <f aca="false">SRC_Cap!$A32&amp;""</f>
        <v/>
      </c>
      <c r="B529" s="61" t="s">
        <v>8479</v>
      </c>
      <c r="C529" s="60" t="n">
        <v>32</v>
      </c>
      <c r="D529" s="92" t="n">
        <f aca="false">SRC_Cap!$O32</f>
        <v>0</v>
      </c>
      <c r="E529" s="92" t="n">
        <f aca="false">SRC_Cap!$K32</f>
        <v>0</v>
      </c>
      <c r="F529" s="92" t="n">
        <f aca="false">SRC_Cap!$S32</f>
        <v>0</v>
      </c>
    </row>
    <row r="530" customFormat="false" ht="15" hidden="false" customHeight="false" outlineLevel="0" collapsed="false">
      <c r="A530" s="92" t="str">
        <f aca="false">SRC_Cap!$A33&amp;""</f>
        <v/>
      </c>
      <c r="B530" s="61" t="s">
        <v>8479</v>
      </c>
      <c r="C530" s="60" t="n">
        <v>33</v>
      </c>
      <c r="D530" s="92" t="n">
        <f aca="false">SRC_Cap!$O33</f>
        <v>0</v>
      </c>
      <c r="E530" s="92" t="n">
        <f aca="false">SRC_Cap!$K33</f>
        <v>0</v>
      </c>
      <c r="F530" s="92" t="n">
        <f aca="false">SRC_Cap!$S33</f>
        <v>0</v>
      </c>
    </row>
    <row r="531" customFormat="false" ht="15" hidden="false" customHeight="false" outlineLevel="0" collapsed="false">
      <c r="A531" s="92" t="str">
        <f aca="false">SRC_Cap!$A34&amp;""</f>
        <v/>
      </c>
      <c r="B531" s="61" t="s">
        <v>8479</v>
      </c>
      <c r="C531" s="60" t="n">
        <v>34</v>
      </c>
      <c r="D531" s="92" t="n">
        <f aca="false">SRC_Cap!$O34</f>
        <v>0</v>
      </c>
      <c r="E531" s="92" t="n">
        <f aca="false">SRC_Cap!$K34</f>
        <v>0</v>
      </c>
      <c r="F531" s="92" t="n">
        <f aca="false">SRC_Cap!$S34</f>
        <v>0</v>
      </c>
    </row>
    <row r="532" customFormat="false" ht="15" hidden="false" customHeight="false" outlineLevel="0" collapsed="false">
      <c r="A532" s="92" t="str">
        <f aca="false">SRC_Cap!$A35&amp;""</f>
        <v/>
      </c>
      <c r="B532" s="61" t="s">
        <v>8479</v>
      </c>
      <c r="C532" s="60" t="n">
        <v>35</v>
      </c>
      <c r="D532" s="92" t="n">
        <f aca="false">SRC_Cap!$O35</f>
        <v>0</v>
      </c>
      <c r="E532" s="92" t="n">
        <f aca="false">SRC_Cap!$K35</f>
        <v>0</v>
      </c>
      <c r="F532" s="92" t="n">
        <f aca="false">SRC_Cap!$S35</f>
        <v>0</v>
      </c>
    </row>
    <row r="533" customFormat="false" ht="15" hidden="false" customHeight="false" outlineLevel="0" collapsed="false">
      <c r="A533" s="92" t="str">
        <f aca="false">SRC_Cap!$A36&amp;""</f>
        <v/>
      </c>
      <c r="B533" s="61" t="s">
        <v>8479</v>
      </c>
      <c r="C533" s="60" t="n">
        <v>36</v>
      </c>
      <c r="D533" s="92" t="n">
        <f aca="false">SRC_Cap!$O36</f>
        <v>0</v>
      </c>
      <c r="E533" s="92" t="n">
        <f aca="false">SRC_Cap!$K36</f>
        <v>0</v>
      </c>
      <c r="F533" s="92" t="n">
        <f aca="false">SRC_Cap!$S36</f>
        <v>0</v>
      </c>
    </row>
    <row r="534" customFormat="false" ht="15" hidden="false" customHeight="false" outlineLevel="0" collapsed="false">
      <c r="A534" s="92" t="str">
        <f aca="false">SRC_Cap!$A37&amp;""</f>
        <v/>
      </c>
      <c r="B534" s="61" t="s">
        <v>8479</v>
      </c>
      <c r="C534" s="60" t="n">
        <v>37</v>
      </c>
      <c r="D534" s="92" t="n">
        <f aca="false">SRC_Cap!$O37</f>
        <v>0</v>
      </c>
      <c r="E534" s="92" t="n">
        <f aca="false">SRC_Cap!$K37</f>
        <v>0</v>
      </c>
      <c r="F534" s="92" t="n">
        <f aca="false">SRC_Cap!$S37</f>
        <v>0</v>
      </c>
    </row>
    <row r="535" customFormat="false" ht="15" hidden="false" customHeight="false" outlineLevel="0" collapsed="false">
      <c r="A535" s="92" t="str">
        <f aca="false">SRC_Cap!$A38&amp;""</f>
        <v/>
      </c>
      <c r="B535" s="61" t="s">
        <v>8479</v>
      </c>
      <c r="C535" s="60" t="n">
        <v>38</v>
      </c>
      <c r="D535" s="92" t="n">
        <f aca="false">SRC_Cap!$O38</f>
        <v>0</v>
      </c>
      <c r="E535" s="92" t="n">
        <f aca="false">SRC_Cap!$K38</f>
        <v>0</v>
      </c>
      <c r="F535" s="92" t="n">
        <f aca="false">SRC_Cap!$S38</f>
        <v>0</v>
      </c>
    </row>
    <row r="536" customFormat="false" ht="15" hidden="false" customHeight="false" outlineLevel="0" collapsed="false">
      <c r="A536" s="92" t="str">
        <f aca="false">SRC_Cap!$A39&amp;""</f>
        <v/>
      </c>
      <c r="B536" s="61" t="s">
        <v>8479</v>
      </c>
      <c r="C536" s="60" t="n">
        <v>39</v>
      </c>
      <c r="D536" s="92" t="n">
        <f aca="false">SRC_Cap!$O39</f>
        <v>0</v>
      </c>
      <c r="E536" s="92" t="n">
        <f aca="false">SRC_Cap!$K39</f>
        <v>0</v>
      </c>
      <c r="F536" s="92" t="n">
        <f aca="false">SRC_Cap!$S39</f>
        <v>0</v>
      </c>
    </row>
    <row r="537" customFormat="false" ht="15" hidden="false" customHeight="false" outlineLevel="0" collapsed="false">
      <c r="A537" s="92" t="str">
        <f aca="false">SRC_Cap!$A40&amp;""</f>
        <v/>
      </c>
      <c r="B537" s="61" t="s">
        <v>8479</v>
      </c>
      <c r="C537" s="60" t="n">
        <v>40</v>
      </c>
      <c r="D537" s="92" t="n">
        <f aca="false">SRC_Cap!$O40</f>
        <v>0</v>
      </c>
      <c r="E537" s="92" t="n">
        <f aca="false">SRC_Cap!$K40</f>
        <v>0</v>
      </c>
      <c r="F537" s="92" t="n">
        <f aca="false">SRC_Cap!$S40</f>
        <v>0</v>
      </c>
    </row>
    <row r="538" customFormat="false" ht="15" hidden="false" customHeight="false" outlineLevel="0" collapsed="false">
      <c r="A538" s="92" t="str">
        <f aca="false">SRC_Cap!$A41&amp;""</f>
        <v/>
      </c>
      <c r="B538" s="61" t="s">
        <v>8479</v>
      </c>
      <c r="C538" s="60" t="n">
        <v>41</v>
      </c>
      <c r="D538" s="92" t="n">
        <f aca="false">SRC_Cap!$O41</f>
        <v>0</v>
      </c>
      <c r="E538" s="92" t="n">
        <f aca="false">SRC_Cap!$K41</f>
        <v>0</v>
      </c>
      <c r="F538" s="92" t="n">
        <f aca="false">SRC_Cap!$S41</f>
        <v>0</v>
      </c>
    </row>
    <row r="539" customFormat="false" ht="15" hidden="false" customHeight="false" outlineLevel="0" collapsed="false">
      <c r="A539" s="92" t="str">
        <f aca="false">SRC_Cap!$A42&amp;""</f>
        <v/>
      </c>
      <c r="B539" s="61" t="s">
        <v>8479</v>
      </c>
      <c r="C539" s="60" t="n">
        <v>42</v>
      </c>
      <c r="D539" s="92" t="n">
        <f aca="false">SRC_Cap!$O42</f>
        <v>0</v>
      </c>
      <c r="E539" s="92" t="n">
        <f aca="false">SRC_Cap!$K42</f>
        <v>0</v>
      </c>
      <c r="F539" s="92" t="n">
        <f aca="false">SRC_Cap!$S42</f>
        <v>0</v>
      </c>
    </row>
    <row r="540" customFormat="false" ht="15" hidden="false" customHeight="false" outlineLevel="0" collapsed="false">
      <c r="A540" s="92" t="str">
        <f aca="false">SRC_Cap!$A43&amp;""</f>
        <v/>
      </c>
      <c r="B540" s="61" t="s">
        <v>8479</v>
      </c>
      <c r="C540" s="60" t="n">
        <v>43</v>
      </c>
      <c r="D540" s="92" t="n">
        <f aca="false">SRC_Cap!$O43</f>
        <v>0</v>
      </c>
      <c r="E540" s="92" t="n">
        <f aca="false">SRC_Cap!$K43</f>
        <v>0</v>
      </c>
      <c r="F540" s="92" t="n">
        <f aca="false">SRC_Cap!$S43</f>
        <v>0</v>
      </c>
    </row>
    <row r="541" customFormat="false" ht="15" hidden="false" customHeight="false" outlineLevel="0" collapsed="false">
      <c r="A541" s="92" t="str">
        <f aca="false">SRC_Cap!$A44&amp;""</f>
        <v/>
      </c>
      <c r="B541" s="61" t="s">
        <v>8479</v>
      </c>
      <c r="C541" s="60" t="n">
        <v>44</v>
      </c>
      <c r="D541" s="92" t="n">
        <f aca="false">SRC_Cap!$O44</f>
        <v>0</v>
      </c>
      <c r="E541" s="92" t="n">
        <f aca="false">SRC_Cap!$K44</f>
        <v>0</v>
      </c>
      <c r="F541" s="92" t="n">
        <f aca="false">SRC_Cap!$S44</f>
        <v>0</v>
      </c>
    </row>
    <row r="542" customFormat="false" ht="15" hidden="false" customHeight="false" outlineLevel="0" collapsed="false">
      <c r="A542" s="92" t="str">
        <f aca="false">SRC_Cap!$A45&amp;""</f>
        <v/>
      </c>
      <c r="B542" s="61" t="s">
        <v>8479</v>
      </c>
      <c r="C542" s="60" t="n">
        <v>45</v>
      </c>
      <c r="D542" s="92" t="n">
        <f aca="false">SRC_Cap!$O45</f>
        <v>0</v>
      </c>
      <c r="E542" s="92" t="n">
        <f aca="false">SRC_Cap!$K45</f>
        <v>0</v>
      </c>
      <c r="F542" s="92" t="n">
        <f aca="false">SRC_Cap!$S45</f>
        <v>0</v>
      </c>
    </row>
    <row r="543" customFormat="false" ht="15" hidden="false" customHeight="false" outlineLevel="0" collapsed="false">
      <c r="A543" s="92" t="str">
        <f aca="false">SRC_Cap!$A46&amp;""</f>
        <v/>
      </c>
      <c r="B543" s="61" t="s">
        <v>8479</v>
      </c>
      <c r="C543" s="60" t="n">
        <v>46</v>
      </c>
      <c r="D543" s="92" t="n">
        <f aca="false">SRC_Cap!$O46</f>
        <v>0</v>
      </c>
      <c r="E543" s="92" t="n">
        <f aca="false">SRC_Cap!$K46</f>
        <v>0</v>
      </c>
      <c r="F543" s="92" t="n">
        <f aca="false">SRC_Cap!$S46</f>
        <v>0</v>
      </c>
    </row>
    <row r="544" customFormat="false" ht="15" hidden="false" customHeight="false" outlineLevel="0" collapsed="false">
      <c r="A544" s="92" t="str">
        <f aca="false">SRC_Cap!$A47&amp;""</f>
        <v/>
      </c>
      <c r="B544" s="61" t="s">
        <v>8479</v>
      </c>
      <c r="C544" s="60" t="n">
        <v>47</v>
      </c>
      <c r="D544" s="92" t="n">
        <f aca="false">SRC_Cap!$O47</f>
        <v>0</v>
      </c>
      <c r="E544" s="92" t="n">
        <f aca="false">SRC_Cap!$K47</f>
        <v>0</v>
      </c>
      <c r="F544" s="92" t="n">
        <f aca="false">SRC_Cap!$S47</f>
        <v>0</v>
      </c>
    </row>
    <row r="545" customFormat="false" ht="15" hidden="false" customHeight="false" outlineLevel="0" collapsed="false">
      <c r="A545" s="92" t="str">
        <f aca="false">SRC_Cap!$A48&amp;""</f>
        <v/>
      </c>
      <c r="B545" s="61" t="s">
        <v>8479</v>
      </c>
      <c r="C545" s="60" t="n">
        <v>48</v>
      </c>
      <c r="D545" s="92" t="n">
        <f aca="false">SRC_Cap!$O48</f>
        <v>0</v>
      </c>
      <c r="E545" s="92" t="n">
        <f aca="false">SRC_Cap!$K48</f>
        <v>0</v>
      </c>
      <c r="F545" s="92" t="n">
        <f aca="false">SRC_Cap!$S48</f>
        <v>0</v>
      </c>
    </row>
    <row r="546" customFormat="false" ht="15" hidden="false" customHeight="false" outlineLevel="0" collapsed="false">
      <c r="A546" s="92" t="str">
        <f aca="false">SRC_Cap!$A49&amp;""</f>
        <v/>
      </c>
      <c r="B546" s="61" t="s">
        <v>8479</v>
      </c>
      <c r="C546" s="60" t="n">
        <v>49</v>
      </c>
      <c r="D546" s="92" t="n">
        <f aca="false">SRC_Cap!$O49</f>
        <v>0</v>
      </c>
      <c r="E546" s="92" t="n">
        <f aca="false">SRC_Cap!$K49</f>
        <v>0</v>
      </c>
      <c r="F546" s="92" t="n">
        <f aca="false">SRC_Cap!$S49</f>
        <v>0</v>
      </c>
    </row>
    <row r="547" customFormat="false" ht="15" hidden="false" customHeight="false" outlineLevel="0" collapsed="false">
      <c r="A547" s="92" t="str">
        <f aca="false">SRC_Cap!$A50&amp;""</f>
        <v/>
      </c>
      <c r="B547" s="61" t="s">
        <v>8479</v>
      </c>
      <c r="C547" s="60" t="n">
        <v>50</v>
      </c>
      <c r="D547" s="92" t="n">
        <f aca="false">SRC_Cap!$O50</f>
        <v>0</v>
      </c>
      <c r="E547" s="92" t="n">
        <f aca="false">SRC_Cap!$K50</f>
        <v>0</v>
      </c>
      <c r="F547" s="92" t="n">
        <f aca="false">SRC_Cap!$S50</f>
        <v>0</v>
      </c>
    </row>
    <row r="548" customFormat="false" ht="15" hidden="false" customHeight="false" outlineLevel="0" collapsed="false">
      <c r="A548" s="92" t="str">
        <f aca="false">SRC_Cap!$A51&amp;""</f>
        <v/>
      </c>
      <c r="B548" s="61" t="s">
        <v>8479</v>
      </c>
      <c r="C548" s="60" t="n">
        <v>51</v>
      </c>
      <c r="D548" s="92" t="n">
        <f aca="false">SRC_Cap!$O51</f>
        <v>0</v>
      </c>
      <c r="E548" s="92" t="n">
        <f aca="false">SRC_Cap!$K51</f>
        <v>0</v>
      </c>
      <c r="F548" s="92" t="n">
        <f aca="false">SRC_Cap!$S51</f>
        <v>0</v>
      </c>
    </row>
    <row r="549" customFormat="false" ht="15" hidden="false" customHeight="false" outlineLevel="0" collapsed="false">
      <c r="A549" s="92" t="str">
        <f aca="false">SRC_Cap!$A52&amp;""</f>
        <v/>
      </c>
      <c r="B549" s="61" t="s">
        <v>8479</v>
      </c>
      <c r="C549" s="60" t="n">
        <v>52</v>
      </c>
      <c r="D549" s="92" t="n">
        <f aca="false">SRC_Cap!$O52</f>
        <v>0</v>
      </c>
      <c r="E549" s="92" t="n">
        <f aca="false">SRC_Cap!$K52</f>
        <v>0</v>
      </c>
      <c r="F549" s="92" t="n">
        <f aca="false">SRC_Cap!$S52</f>
        <v>0</v>
      </c>
    </row>
    <row r="550" customFormat="false" ht="15" hidden="false" customHeight="false" outlineLevel="0" collapsed="false">
      <c r="A550" s="92" t="str">
        <f aca="false">SRC_Cap!$A53&amp;""</f>
        <v/>
      </c>
      <c r="B550" s="61" t="s">
        <v>8479</v>
      </c>
      <c r="C550" s="60" t="n">
        <v>53</v>
      </c>
      <c r="D550" s="92" t="n">
        <f aca="false">SRC_Cap!$O53</f>
        <v>0</v>
      </c>
      <c r="E550" s="92" t="n">
        <f aca="false">SRC_Cap!$K53</f>
        <v>0</v>
      </c>
      <c r="F550" s="92" t="n">
        <f aca="false">SRC_Cap!$S53</f>
        <v>0</v>
      </c>
    </row>
    <row r="551" customFormat="false" ht="15" hidden="false" customHeight="false" outlineLevel="0" collapsed="false">
      <c r="A551" s="92" t="str">
        <f aca="false">SRC_Cap!$A54&amp;""</f>
        <v/>
      </c>
      <c r="B551" s="61" t="s">
        <v>8479</v>
      </c>
      <c r="C551" s="60" t="n">
        <v>54</v>
      </c>
      <c r="D551" s="92" t="n">
        <f aca="false">SRC_Cap!$O54</f>
        <v>0</v>
      </c>
      <c r="E551" s="92" t="n">
        <f aca="false">SRC_Cap!$K54</f>
        <v>0</v>
      </c>
      <c r="F551" s="92" t="n">
        <f aca="false">SRC_Cap!$S54</f>
        <v>0</v>
      </c>
    </row>
    <row r="552" customFormat="false" ht="15" hidden="false" customHeight="false" outlineLevel="0" collapsed="false">
      <c r="A552" s="92" t="str">
        <f aca="false">SRC_Cap!$A55&amp;""</f>
        <v/>
      </c>
      <c r="B552" s="61" t="s">
        <v>8479</v>
      </c>
      <c r="C552" s="60" t="n">
        <v>55</v>
      </c>
      <c r="D552" s="92" t="n">
        <f aca="false">SRC_Cap!$O55</f>
        <v>0</v>
      </c>
      <c r="E552" s="92" t="n">
        <f aca="false">SRC_Cap!$K55</f>
        <v>0</v>
      </c>
      <c r="F552" s="92" t="n">
        <f aca="false">SRC_Cap!$S55</f>
        <v>0</v>
      </c>
    </row>
    <row r="553" customFormat="false" ht="15" hidden="false" customHeight="false" outlineLevel="0" collapsed="false">
      <c r="A553" s="92" t="str">
        <f aca="false">SRC_Cap!$A56&amp;""</f>
        <v/>
      </c>
      <c r="B553" s="61" t="s">
        <v>8479</v>
      </c>
      <c r="C553" s="60" t="n">
        <v>56</v>
      </c>
      <c r="D553" s="92" t="n">
        <f aca="false">SRC_Cap!$O56</f>
        <v>0</v>
      </c>
      <c r="E553" s="92" t="n">
        <f aca="false">SRC_Cap!$K56</f>
        <v>0</v>
      </c>
      <c r="F553" s="92" t="n">
        <f aca="false">SRC_Cap!$S56</f>
        <v>0</v>
      </c>
    </row>
    <row r="554" customFormat="false" ht="15" hidden="false" customHeight="false" outlineLevel="0" collapsed="false">
      <c r="A554" s="92" t="str">
        <f aca="false">SRC_Cap!$A57&amp;""</f>
        <v/>
      </c>
      <c r="B554" s="61" t="s">
        <v>8479</v>
      </c>
      <c r="C554" s="60" t="n">
        <v>57</v>
      </c>
      <c r="D554" s="92" t="n">
        <f aca="false">SRC_Cap!$O57</f>
        <v>0</v>
      </c>
      <c r="E554" s="92" t="n">
        <f aca="false">SRC_Cap!$K57</f>
        <v>0</v>
      </c>
      <c r="F554" s="92" t="n">
        <f aca="false">SRC_Cap!$S57</f>
        <v>0</v>
      </c>
    </row>
    <row r="555" customFormat="false" ht="15" hidden="false" customHeight="false" outlineLevel="0" collapsed="false">
      <c r="A555" s="92" t="str">
        <f aca="false">SRC_Cap!$A58&amp;""</f>
        <v/>
      </c>
      <c r="B555" s="61" t="s">
        <v>8479</v>
      </c>
      <c r="C555" s="60" t="n">
        <v>58</v>
      </c>
      <c r="D555" s="92" t="n">
        <f aca="false">SRC_Cap!$O58</f>
        <v>0</v>
      </c>
      <c r="E555" s="92" t="n">
        <f aca="false">SRC_Cap!$K58</f>
        <v>0</v>
      </c>
      <c r="F555" s="92" t="n">
        <f aca="false">SRC_Cap!$S58</f>
        <v>0</v>
      </c>
    </row>
    <row r="556" customFormat="false" ht="15" hidden="false" customHeight="false" outlineLevel="0" collapsed="false">
      <c r="A556" s="92" t="str">
        <f aca="false">SRC_Cap!$A59&amp;""</f>
        <v/>
      </c>
      <c r="B556" s="61" t="s">
        <v>8479</v>
      </c>
      <c r="C556" s="60" t="n">
        <v>59</v>
      </c>
      <c r="D556" s="92" t="n">
        <f aca="false">SRC_Cap!$O59</f>
        <v>0</v>
      </c>
      <c r="E556" s="92" t="n">
        <f aca="false">SRC_Cap!$K59</f>
        <v>0</v>
      </c>
      <c r="F556" s="92" t="n">
        <f aca="false">SRC_Cap!$S59</f>
        <v>0</v>
      </c>
    </row>
    <row r="557" customFormat="false" ht="15" hidden="false" customHeight="false" outlineLevel="0" collapsed="false">
      <c r="A557" s="92" t="str">
        <f aca="false">SRC_Cap!$A60&amp;""</f>
        <v/>
      </c>
      <c r="B557" s="61" t="s">
        <v>8479</v>
      </c>
      <c r="C557" s="60" t="n">
        <v>60</v>
      </c>
      <c r="D557" s="92" t="n">
        <f aca="false">SRC_Cap!$O60</f>
        <v>0</v>
      </c>
      <c r="E557" s="92" t="n">
        <f aca="false">SRC_Cap!$K60</f>
        <v>0</v>
      </c>
      <c r="F557" s="92" t="n">
        <f aca="false">SRC_Cap!$S60</f>
        <v>0</v>
      </c>
    </row>
    <row r="558" customFormat="false" ht="15" hidden="false" customHeight="false" outlineLevel="0" collapsed="false">
      <c r="A558" s="92" t="str">
        <f aca="false">SRC_Cap!$A61&amp;""</f>
        <v/>
      </c>
      <c r="B558" s="61" t="s">
        <v>8479</v>
      </c>
      <c r="C558" s="60" t="n">
        <v>61</v>
      </c>
      <c r="D558" s="92" t="n">
        <f aca="false">SRC_Cap!$O61</f>
        <v>0</v>
      </c>
      <c r="E558" s="92" t="n">
        <f aca="false">SRC_Cap!$K61</f>
        <v>0</v>
      </c>
      <c r="F558" s="92" t="n">
        <f aca="false">SRC_Cap!$S61</f>
        <v>0</v>
      </c>
    </row>
    <row r="559" customFormat="false" ht="15" hidden="false" customHeight="false" outlineLevel="0" collapsed="false">
      <c r="A559" s="92" t="str">
        <f aca="false">SRC_Cap!$A62&amp;""</f>
        <v/>
      </c>
      <c r="B559" s="61" t="s">
        <v>8479</v>
      </c>
      <c r="C559" s="60" t="n">
        <v>62</v>
      </c>
      <c r="D559" s="92" t="n">
        <f aca="false">SRC_Cap!$O62</f>
        <v>0</v>
      </c>
      <c r="E559" s="92" t="n">
        <f aca="false">SRC_Cap!$K62</f>
        <v>0</v>
      </c>
      <c r="F559" s="92" t="n">
        <f aca="false">SRC_Cap!$S62</f>
        <v>0</v>
      </c>
    </row>
    <row r="560" customFormat="false" ht="15" hidden="false" customHeight="false" outlineLevel="0" collapsed="false">
      <c r="A560" s="92" t="str">
        <f aca="false">SRC_Cap!$A63&amp;""</f>
        <v/>
      </c>
      <c r="B560" s="61" t="s">
        <v>8479</v>
      </c>
      <c r="C560" s="60" t="n">
        <v>63</v>
      </c>
      <c r="D560" s="92" t="n">
        <f aca="false">SRC_Cap!$O63</f>
        <v>0</v>
      </c>
      <c r="E560" s="92" t="n">
        <f aca="false">SRC_Cap!$K63</f>
        <v>0</v>
      </c>
      <c r="F560" s="92" t="n">
        <f aca="false">SRC_Cap!$S63</f>
        <v>0</v>
      </c>
    </row>
    <row r="561" customFormat="false" ht="15" hidden="false" customHeight="false" outlineLevel="0" collapsed="false">
      <c r="A561" s="92" t="str">
        <f aca="false">SRC_Cap!$A64&amp;""</f>
        <v/>
      </c>
      <c r="B561" s="61" t="s">
        <v>8479</v>
      </c>
      <c r="C561" s="60" t="n">
        <v>64</v>
      </c>
      <c r="D561" s="92" t="n">
        <f aca="false">SRC_Cap!$O64</f>
        <v>0</v>
      </c>
      <c r="E561" s="92" t="n">
        <f aca="false">SRC_Cap!$K64</f>
        <v>0</v>
      </c>
      <c r="F561" s="92" t="n">
        <f aca="false">SRC_Cap!$S64</f>
        <v>0</v>
      </c>
    </row>
    <row r="562" customFormat="false" ht="15" hidden="false" customHeight="false" outlineLevel="0" collapsed="false">
      <c r="A562" s="92" t="str">
        <f aca="false">SRC_Cap!$A65&amp;""</f>
        <v/>
      </c>
      <c r="B562" s="61" t="s">
        <v>8479</v>
      </c>
      <c r="C562" s="60" t="n">
        <v>65</v>
      </c>
      <c r="D562" s="92" t="n">
        <f aca="false">SRC_Cap!$O65</f>
        <v>0</v>
      </c>
      <c r="E562" s="92" t="n">
        <f aca="false">SRC_Cap!$K65</f>
        <v>0</v>
      </c>
      <c r="F562" s="92" t="n">
        <f aca="false">SRC_Cap!$S65</f>
        <v>0</v>
      </c>
    </row>
    <row r="563" customFormat="false" ht="15" hidden="false" customHeight="false" outlineLevel="0" collapsed="false">
      <c r="A563" s="92" t="str">
        <f aca="false">SRC_Cap!$A66&amp;""</f>
        <v/>
      </c>
      <c r="B563" s="61" t="s">
        <v>8479</v>
      </c>
      <c r="C563" s="60" t="n">
        <v>66</v>
      </c>
      <c r="D563" s="92" t="n">
        <f aca="false">SRC_Cap!$O66</f>
        <v>0</v>
      </c>
      <c r="E563" s="92" t="n">
        <f aca="false">SRC_Cap!$K66</f>
        <v>0</v>
      </c>
      <c r="F563" s="92" t="n">
        <f aca="false">SRC_Cap!$S66</f>
        <v>0</v>
      </c>
    </row>
    <row r="564" customFormat="false" ht="15" hidden="false" customHeight="false" outlineLevel="0" collapsed="false">
      <c r="A564" s="92" t="str">
        <f aca="false">SRC_Cap!$A67&amp;""</f>
        <v/>
      </c>
      <c r="B564" s="61" t="s">
        <v>8479</v>
      </c>
      <c r="C564" s="60" t="n">
        <v>67</v>
      </c>
      <c r="D564" s="92" t="n">
        <f aca="false">SRC_Cap!$O67</f>
        <v>0</v>
      </c>
      <c r="E564" s="92" t="n">
        <f aca="false">SRC_Cap!$K67</f>
        <v>0</v>
      </c>
      <c r="F564" s="92" t="n">
        <f aca="false">SRC_Cap!$S67</f>
        <v>0</v>
      </c>
    </row>
    <row r="565" customFormat="false" ht="15" hidden="false" customHeight="false" outlineLevel="0" collapsed="false">
      <c r="A565" s="92" t="str">
        <f aca="false">SRC_Cap!$A68&amp;""</f>
        <v/>
      </c>
      <c r="B565" s="61" t="s">
        <v>8479</v>
      </c>
      <c r="C565" s="60" t="n">
        <v>68</v>
      </c>
      <c r="D565" s="92" t="n">
        <f aca="false">SRC_Cap!$O68</f>
        <v>0</v>
      </c>
      <c r="E565" s="92" t="n">
        <f aca="false">SRC_Cap!$K68</f>
        <v>0</v>
      </c>
      <c r="F565" s="92" t="n">
        <f aca="false">SRC_Cap!$S68</f>
        <v>0</v>
      </c>
    </row>
    <row r="566" customFormat="false" ht="15" hidden="false" customHeight="false" outlineLevel="0" collapsed="false">
      <c r="A566" s="92" t="str">
        <f aca="false">SRC_Cap!$A69&amp;""</f>
        <v/>
      </c>
      <c r="B566" s="61" t="s">
        <v>8479</v>
      </c>
      <c r="C566" s="60" t="n">
        <v>69</v>
      </c>
      <c r="D566" s="92" t="n">
        <f aca="false">SRC_Cap!$O69</f>
        <v>0</v>
      </c>
      <c r="E566" s="92" t="n">
        <f aca="false">SRC_Cap!$K69</f>
        <v>0</v>
      </c>
      <c r="F566" s="92" t="n">
        <f aca="false">SRC_Cap!$S69</f>
        <v>0</v>
      </c>
    </row>
    <row r="567" customFormat="false" ht="15" hidden="false" customHeight="false" outlineLevel="0" collapsed="false">
      <c r="A567" s="92" t="str">
        <f aca="false">SRC_Cap!$A70&amp;""</f>
        <v/>
      </c>
      <c r="B567" s="61" t="s">
        <v>8479</v>
      </c>
      <c r="C567" s="60" t="n">
        <v>70</v>
      </c>
      <c r="D567" s="92" t="n">
        <f aca="false">SRC_Cap!$O70</f>
        <v>0</v>
      </c>
      <c r="E567" s="92" t="n">
        <f aca="false">SRC_Cap!$K70</f>
        <v>0</v>
      </c>
      <c r="F567" s="92" t="n">
        <f aca="false">SRC_Cap!$S70</f>
        <v>0</v>
      </c>
    </row>
    <row r="568" customFormat="false" ht="15" hidden="false" customHeight="false" outlineLevel="0" collapsed="false">
      <c r="A568" s="92" t="str">
        <f aca="false">SRC_Cap!$A71&amp;""</f>
        <v/>
      </c>
      <c r="B568" s="61" t="s">
        <v>8479</v>
      </c>
      <c r="C568" s="60" t="n">
        <v>71</v>
      </c>
      <c r="D568" s="92" t="n">
        <f aca="false">SRC_Cap!$O71</f>
        <v>0</v>
      </c>
      <c r="E568" s="92" t="n">
        <f aca="false">SRC_Cap!$K71</f>
        <v>0</v>
      </c>
      <c r="F568" s="92" t="n">
        <f aca="false">SRC_Cap!$S71</f>
        <v>0</v>
      </c>
    </row>
    <row r="569" customFormat="false" ht="15" hidden="false" customHeight="false" outlineLevel="0" collapsed="false">
      <c r="A569" s="92" t="str">
        <f aca="false">SRC_Cap!$A72&amp;""</f>
        <v/>
      </c>
      <c r="B569" s="61" t="s">
        <v>8479</v>
      </c>
      <c r="C569" s="60" t="n">
        <v>72</v>
      </c>
      <c r="D569" s="92" t="n">
        <f aca="false">SRC_Cap!$O72</f>
        <v>0</v>
      </c>
      <c r="E569" s="92" t="n">
        <f aca="false">SRC_Cap!$K72</f>
        <v>0</v>
      </c>
      <c r="F569" s="92" t="n">
        <f aca="false">SRC_Cap!$S72</f>
        <v>0</v>
      </c>
    </row>
    <row r="570" customFormat="false" ht="15" hidden="false" customHeight="false" outlineLevel="0" collapsed="false">
      <c r="A570" s="92" t="str">
        <f aca="false">SRC_Cap!$A73&amp;""</f>
        <v/>
      </c>
      <c r="B570" s="61" t="s">
        <v>8479</v>
      </c>
      <c r="C570" s="60" t="n">
        <v>73</v>
      </c>
      <c r="D570" s="92" t="n">
        <f aca="false">SRC_Cap!$O73</f>
        <v>0</v>
      </c>
      <c r="E570" s="92" t="n">
        <f aca="false">SRC_Cap!$K73</f>
        <v>0</v>
      </c>
      <c r="F570" s="92" t="n">
        <f aca="false">SRC_Cap!$S73</f>
        <v>0</v>
      </c>
    </row>
    <row r="571" customFormat="false" ht="15" hidden="false" customHeight="false" outlineLevel="0" collapsed="false">
      <c r="A571" s="92" t="str">
        <f aca="false">SRC_Cap!$A74&amp;""</f>
        <v/>
      </c>
      <c r="B571" s="61" t="s">
        <v>8479</v>
      </c>
      <c r="C571" s="60" t="n">
        <v>74</v>
      </c>
      <c r="D571" s="92" t="n">
        <f aca="false">SRC_Cap!$O74</f>
        <v>0</v>
      </c>
      <c r="E571" s="92" t="n">
        <f aca="false">SRC_Cap!$K74</f>
        <v>0</v>
      </c>
      <c r="F571" s="92" t="n">
        <f aca="false">SRC_Cap!$S74</f>
        <v>0</v>
      </c>
    </row>
    <row r="572" customFormat="false" ht="15" hidden="false" customHeight="false" outlineLevel="0" collapsed="false">
      <c r="A572" s="92" t="str">
        <f aca="false">SRC_Cap!$A75&amp;""</f>
        <v/>
      </c>
      <c r="B572" s="61" t="s">
        <v>8479</v>
      </c>
      <c r="C572" s="60" t="n">
        <v>75</v>
      </c>
      <c r="D572" s="92" t="n">
        <f aca="false">SRC_Cap!$O75</f>
        <v>0</v>
      </c>
      <c r="E572" s="92" t="n">
        <f aca="false">SRC_Cap!$K75</f>
        <v>0</v>
      </c>
      <c r="F572" s="92" t="n">
        <f aca="false">SRC_Cap!$S75</f>
        <v>0</v>
      </c>
    </row>
    <row r="573" customFormat="false" ht="15" hidden="false" customHeight="false" outlineLevel="0" collapsed="false">
      <c r="A573" s="92" t="str">
        <f aca="false">SRC_Harness!$A5&amp;""</f>
        <v>SRC_HAR_001</v>
      </c>
      <c r="B573" s="61" t="s">
        <v>8480</v>
      </c>
      <c r="C573" s="60" t="n">
        <v>5</v>
      </c>
      <c r="D573" s="92" t="str">
        <f aca="false">SRC_Harness!$O5</f>
        <v>Active</v>
      </c>
      <c r="E573" s="92" t="n">
        <f aca="false">SRC_Harness!$K5</f>
        <v>2</v>
      </c>
      <c r="F573" s="92" t="str">
        <f aca="false">SRC_Harness!$S5</f>
        <v>—</v>
      </c>
    </row>
    <row r="574" customFormat="false" ht="15" hidden="false" customHeight="false" outlineLevel="0" collapsed="false">
      <c r="A574" s="92" t="str">
        <f aca="false">SRC_Harness!$A6&amp;""</f>
        <v>SRC_HAR_002</v>
      </c>
      <c r="B574" s="61" t="s">
        <v>8480</v>
      </c>
      <c r="C574" s="60" t="n">
        <v>6</v>
      </c>
      <c r="D574" s="92" t="str">
        <f aca="false">SRC_Harness!$O6</f>
        <v>Active</v>
      </c>
      <c r="E574" s="92" t="n">
        <f aca="false">SRC_Harness!$K6</f>
        <v>2</v>
      </c>
      <c r="F574" s="92" t="str">
        <f aca="false">SRC_Harness!$S6</f>
        <v>—</v>
      </c>
    </row>
    <row r="575" customFormat="false" ht="15" hidden="false" customHeight="false" outlineLevel="0" collapsed="false">
      <c r="A575" s="92" t="str">
        <f aca="false">SRC_Harness!$A7&amp;""</f>
        <v>SRC_HAR_003</v>
      </c>
      <c r="B575" s="61" t="s">
        <v>8480</v>
      </c>
      <c r="C575" s="60" t="n">
        <v>7</v>
      </c>
      <c r="D575" s="92" t="str">
        <f aca="false">SRC_Harness!$O7</f>
        <v>Active</v>
      </c>
      <c r="E575" s="92" t="n">
        <f aca="false">SRC_Harness!$K7</f>
        <v>2</v>
      </c>
      <c r="F575" s="92" t="str">
        <f aca="false">SRC_Harness!$S7</f>
        <v>—</v>
      </c>
    </row>
    <row r="576" customFormat="false" ht="15" hidden="false" customHeight="false" outlineLevel="0" collapsed="false">
      <c r="A576" s="92" t="str">
        <f aca="false">SRC_Harness!$A8&amp;""</f>
        <v>SRC_HAR_004</v>
      </c>
      <c r="B576" s="61" t="s">
        <v>8480</v>
      </c>
      <c r="C576" s="60" t="n">
        <v>8</v>
      </c>
      <c r="D576" s="92" t="str">
        <f aca="false">SRC_Harness!$O8</f>
        <v>Active</v>
      </c>
      <c r="E576" s="92" t="n">
        <f aca="false">SRC_Harness!$K8</f>
        <v>2</v>
      </c>
      <c r="F576" s="92" t="str">
        <f aca="false">SRC_Harness!$S8</f>
        <v>—</v>
      </c>
    </row>
    <row r="577" customFormat="false" ht="15" hidden="false" customHeight="false" outlineLevel="0" collapsed="false">
      <c r="A577" s="92" t="str">
        <f aca="false">SRC_Harness!$A9&amp;""</f>
        <v>SRC_HAR_005</v>
      </c>
      <c r="B577" s="61" t="s">
        <v>8480</v>
      </c>
      <c r="C577" s="60" t="n">
        <v>9</v>
      </c>
      <c r="D577" s="92" t="str">
        <f aca="false">SRC_Harness!$O9</f>
        <v>Active</v>
      </c>
      <c r="E577" s="92" t="n">
        <f aca="false">SRC_Harness!$K9</f>
        <v>2</v>
      </c>
      <c r="F577" s="92" t="str">
        <f aca="false">SRC_Harness!$S9</f>
        <v>—</v>
      </c>
    </row>
    <row r="578" customFormat="false" ht="15" hidden="false" customHeight="false" outlineLevel="0" collapsed="false">
      <c r="A578" s="92" t="str">
        <f aca="false">SRC_Harness!$A10&amp;""</f>
        <v>SRC_HAR_006</v>
      </c>
      <c r="B578" s="61" t="s">
        <v>8480</v>
      </c>
      <c r="C578" s="60" t="n">
        <v>10</v>
      </c>
      <c r="D578" s="92" t="str">
        <f aca="false">SRC_Harness!$O10</f>
        <v>Active</v>
      </c>
      <c r="E578" s="92" t="n">
        <f aca="false">SRC_Harness!$K10</f>
        <v>2</v>
      </c>
      <c r="F578" s="92" t="str">
        <f aca="false">SRC_Harness!$S10</f>
        <v>—</v>
      </c>
    </row>
    <row r="579" customFormat="false" ht="15" hidden="false" customHeight="false" outlineLevel="0" collapsed="false">
      <c r="A579" s="92" t="str">
        <f aca="false">SRC_Harness!$A11&amp;""</f>
        <v>SRC_HAR_007</v>
      </c>
      <c r="B579" s="61" t="s">
        <v>8480</v>
      </c>
      <c r="C579" s="60" t="n">
        <v>11</v>
      </c>
      <c r="D579" s="92" t="str">
        <f aca="false">SRC_Harness!$O11</f>
        <v>Active</v>
      </c>
      <c r="E579" s="92" t="n">
        <f aca="false">SRC_Harness!$K11</f>
        <v>2</v>
      </c>
      <c r="F579" s="92" t="str">
        <f aca="false">SRC_Harness!$S11</f>
        <v>—</v>
      </c>
    </row>
    <row r="580" customFormat="false" ht="15" hidden="false" customHeight="false" outlineLevel="0" collapsed="false">
      <c r="A580" s="92" t="str">
        <f aca="false">SRC_Harness!$A12&amp;""</f>
        <v>SRC_HAR_008</v>
      </c>
      <c r="B580" s="61" t="s">
        <v>8480</v>
      </c>
      <c r="C580" s="60" t="n">
        <v>12</v>
      </c>
      <c r="D580" s="92" t="str">
        <f aca="false">SRC_Harness!$O12</f>
        <v>Active</v>
      </c>
      <c r="E580" s="92" t="n">
        <f aca="false">SRC_Harness!$K12</f>
        <v>2</v>
      </c>
      <c r="F580" s="92" t="str">
        <f aca="false">SRC_Harness!$S12</f>
        <v>—</v>
      </c>
    </row>
    <row r="581" customFormat="false" ht="15" hidden="false" customHeight="false" outlineLevel="0" collapsed="false">
      <c r="A581" s="92" t="str">
        <f aca="false">SRC_Harness!$A13&amp;""</f>
        <v>SRC_HAR_009</v>
      </c>
      <c r="B581" s="61" t="s">
        <v>8480</v>
      </c>
      <c r="C581" s="60" t="n">
        <v>13</v>
      </c>
      <c r="D581" s="92" t="str">
        <f aca="false">SRC_Harness!$O13</f>
        <v>Alt</v>
      </c>
      <c r="E581" s="92" t="n">
        <f aca="false">SRC_Harness!$K13</f>
        <v>2</v>
      </c>
      <c r="F581" s="92" t="str">
        <f aca="false">SRC_Harness!$S13</f>
        <v>—</v>
      </c>
    </row>
    <row r="582" customFormat="false" ht="15" hidden="false" customHeight="false" outlineLevel="0" collapsed="false">
      <c r="A582" s="92" t="str">
        <f aca="false">SRC_Harness!$A14&amp;""</f>
        <v>SRC_HAR_010</v>
      </c>
      <c r="B582" s="61" t="s">
        <v>8480</v>
      </c>
      <c r="C582" s="60" t="n">
        <v>14</v>
      </c>
      <c r="D582" s="92" t="str">
        <f aca="false">SRC_Harness!$O14</f>
        <v>Active</v>
      </c>
      <c r="E582" s="92" t="n">
        <f aca="false">SRC_Harness!$K14</f>
        <v>2</v>
      </c>
      <c r="F582" s="92" t="str">
        <f aca="false">SRC_Harness!$S14</f>
        <v>—</v>
      </c>
    </row>
    <row r="583" customFormat="false" ht="15" hidden="false" customHeight="false" outlineLevel="0" collapsed="false">
      <c r="A583" s="92" t="str">
        <f aca="false">SRC_Harness!$A15&amp;""</f>
        <v>SRC_HAR_011</v>
      </c>
      <c r="B583" s="61" t="s">
        <v>8480</v>
      </c>
      <c r="C583" s="60" t="n">
        <v>15</v>
      </c>
      <c r="D583" s="92" t="str">
        <f aca="false">SRC_Harness!$O15</f>
        <v>Active</v>
      </c>
      <c r="E583" s="92" t="n">
        <f aca="false">SRC_Harness!$K15</f>
        <v>2</v>
      </c>
      <c r="F583" s="92" t="str">
        <f aca="false">SRC_Harness!$S15</f>
        <v>—</v>
      </c>
    </row>
    <row r="584" customFormat="false" ht="15" hidden="false" customHeight="false" outlineLevel="0" collapsed="false">
      <c r="A584" s="92" t="str">
        <f aca="false">SRC_Harness!$A16&amp;""</f>
        <v>SRC_HAR_012</v>
      </c>
      <c r="B584" s="61" t="s">
        <v>8480</v>
      </c>
      <c r="C584" s="60" t="n">
        <v>16</v>
      </c>
      <c r="D584" s="92" t="str">
        <f aca="false">SRC_Harness!$O16</f>
        <v>Active</v>
      </c>
      <c r="E584" s="92" t="n">
        <f aca="false">SRC_Harness!$K16</f>
        <v>2</v>
      </c>
      <c r="F584" s="92" t="str">
        <f aca="false">SRC_Harness!$S16</f>
        <v>—</v>
      </c>
    </row>
    <row r="585" customFormat="false" ht="15" hidden="false" customHeight="false" outlineLevel="0" collapsed="false">
      <c r="A585" s="92" t="str">
        <f aca="false">SRC_Harness!$A17&amp;""</f>
        <v>SRC_HAR_013</v>
      </c>
      <c r="B585" s="61" t="s">
        <v>8480</v>
      </c>
      <c r="C585" s="60" t="n">
        <v>17</v>
      </c>
      <c r="D585" s="92" t="str">
        <f aca="false">SRC_Harness!$O17</f>
        <v>Active</v>
      </c>
      <c r="E585" s="92" t="n">
        <f aca="false">SRC_Harness!$K17</f>
        <v>2</v>
      </c>
      <c r="F585" s="92" t="str">
        <f aca="false">SRC_Harness!$S17</f>
        <v>—</v>
      </c>
    </row>
    <row r="586" customFormat="false" ht="15" hidden="false" customHeight="false" outlineLevel="0" collapsed="false">
      <c r="A586" s="92" t="str">
        <f aca="false">SRC_Harness!$A18&amp;""</f>
        <v>SRC_HAR_014</v>
      </c>
      <c r="B586" s="61" t="s">
        <v>8480</v>
      </c>
      <c r="C586" s="60" t="n">
        <v>18</v>
      </c>
      <c r="D586" s="92" t="str">
        <f aca="false">SRC_Harness!$O18</f>
        <v>Active</v>
      </c>
      <c r="E586" s="92" t="n">
        <f aca="false">SRC_Harness!$K18</f>
        <v>2</v>
      </c>
      <c r="F586" s="92" t="str">
        <f aca="false">SRC_Harness!$S18</f>
        <v>—</v>
      </c>
    </row>
    <row r="587" customFormat="false" ht="15" hidden="false" customHeight="false" outlineLevel="0" collapsed="false">
      <c r="A587" s="92" t="str">
        <f aca="false">SRC_Harness!$A19&amp;""</f>
        <v>SRC_HAR_015</v>
      </c>
      <c r="B587" s="61" t="s">
        <v>8480</v>
      </c>
      <c r="C587" s="60" t="n">
        <v>19</v>
      </c>
      <c r="D587" s="92" t="str">
        <f aca="false">SRC_Harness!$O19</f>
        <v>Active</v>
      </c>
      <c r="E587" s="92" t="n">
        <f aca="false">SRC_Harness!$K19</f>
        <v>2</v>
      </c>
      <c r="F587" s="92" t="str">
        <f aca="false">SRC_Harness!$S19</f>
        <v>—</v>
      </c>
    </row>
    <row r="588" customFormat="false" ht="15" hidden="false" customHeight="false" outlineLevel="0" collapsed="false">
      <c r="A588" s="92" t="str">
        <f aca="false">SRC_Harness!$A20&amp;""</f>
        <v/>
      </c>
      <c r="B588" s="61" t="s">
        <v>8480</v>
      </c>
      <c r="C588" s="60" t="n">
        <v>20</v>
      </c>
      <c r="D588" s="92" t="n">
        <f aca="false">SRC_Harness!$O20</f>
        <v>0</v>
      </c>
      <c r="E588" s="92" t="n">
        <f aca="false">SRC_Harness!$K20</f>
        <v>0</v>
      </c>
      <c r="F588" s="92" t="n">
        <f aca="false">SRC_Harness!$S20</f>
        <v>0</v>
      </c>
    </row>
    <row r="589" customFormat="false" ht="15" hidden="false" customHeight="false" outlineLevel="0" collapsed="false">
      <c r="A589" s="92" t="str">
        <f aca="false">SRC_Harness!$A21&amp;""</f>
        <v/>
      </c>
      <c r="B589" s="61" t="s">
        <v>8480</v>
      </c>
      <c r="C589" s="60" t="n">
        <v>21</v>
      </c>
      <c r="D589" s="92" t="n">
        <f aca="false">SRC_Harness!$O21</f>
        <v>0</v>
      </c>
      <c r="E589" s="92" t="n">
        <f aca="false">SRC_Harness!$K21</f>
        <v>0</v>
      </c>
      <c r="F589" s="92" t="n">
        <f aca="false">SRC_Harness!$S21</f>
        <v>0</v>
      </c>
    </row>
    <row r="590" customFormat="false" ht="15" hidden="false" customHeight="false" outlineLevel="0" collapsed="false">
      <c r="A590" s="92" t="str">
        <f aca="false">SRC_Harness!$A22&amp;""</f>
        <v/>
      </c>
      <c r="B590" s="61" t="s">
        <v>8480</v>
      </c>
      <c r="C590" s="60" t="n">
        <v>22</v>
      </c>
      <c r="D590" s="92" t="n">
        <f aca="false">SRC_Harness!$O22</f>
        <v>0</v>
      </c>
      <c r="E590" s="92" t="n">
        <f aca="false">SRC_Harness!$K22</f>
        <v>0</v>
      </c>
      <c r="F590" s="92" t="n">
        <f aca="false">SRC_Harness!$S22</f>
        <v>0</v>
      </c>
    </row>
    <row r="591" customFormat="false" ht="15" hidden="false" customHeight="false" outlineLevel="0" collapsed="false">
      <c r="A591" s="92" t="str">
        <f aca="false">SRC_Harness!$A23&amp;""</f>
        <v/>
      </c>
      <c r="B591" s="61" t="s">
        <v>8480</v>
      </c>
      <c r="C591" s="60" t="n">
        <v>23</v>
      </c>
      <c r="D591" s="92" t="n">
        <f aca="false">SRC_Harness!$O23</f>
        <v>0</v>
      </c>
      <c r="E591" s="92" t="n">
        <f aca="false">SRC_Harness!$K23</f>
        <v>0</v>
      </c>
      <c r="F591" s="92" t="n">
        <f aca="false">SRC_Harness!$S23</f>
        <v>0</v>
      </c>
    </row>
    <row r="592" customFormat="false" ht="15" hidden="false" customHeight="false" outlineLevel="0" collapsed="false">
      <c r="A592" s="92" t="str">
        <f aca="false">SRC_Harness!$A24&amp;""</f>
        <v/>
      </c>
      <c r="B592" s="61" t="s">
        <v>8480</v>
      </c>
      <c r="C592" s="60" t="n">
        <v>24</v>
      </c>
      <c r="D592" s="92" t="n">
        <f aca="false">SRC_Harness!$O24</f>
        <v>0</v>
      </c>
      <c r="E592" s="92" t="n">
        <f aca="false">SRC_Harness!$K24</f>
        <v>0</v>
      </c>
      <c r="F592" s="92" t="n">
        <f aca="false">SRC_Harness!$S24</f>
        <v>0</v>
      </c>
    </row>
    <row r="593" customFormat="false" ht="15" hidden="false" customHeight="false" outlineLevel="0" collapsed="false">
      <c r="A593" s="92" t="str">
        <f aca="false">SRC_Harness!$A25&amp;""</f>
        <v/>
      </c>
      <c r="B593" s="61" t="s">
        <v>8480</v>
      </c>
      <c r="C593" s="60" t="n">
        <v>25</v>
      </c>
      <c r="D593" s="92" t="n">
        <f aca="false">SRC_Harness!$O25</f>
        <v>0</v>
      </c>
      <c r="E593" s="92" t="n">
        <f aca="false">SRC_Harness!$K25</f>
        <v>0</v>
      </c>
      <c r="F593" s="92" t="n">
        <f aca="false">SRC_Harness!$S25</f>
        <v>0</v>
      </c>
    </row>
    <row r="594" customFormat="false" ht="15" hidden="false" customHeight="false" outlineLevel="0" collapsed="false">
      <c r="A594" s="92" t="str">
        <f aca="false">SRC_Harness!$A26&amp;""</f>
        <v/>
      </c>
      <c r="B594" s="61" t="s">
        <v>8480</v>
      </c>
      <c r="C594" s="60" t="n">
        <v>26</v>
      </c>
      <c r="D594" s="92" t="n">
        <f aca="false">SRC_Harness!$O26</f>
        <v>0</v>
      </c>
      <c r="E594" s="92" t="n">
        <f aca="false">SRC_Harness!$K26</f>
        <v>0</v>
      </c>
      <c r="F594" s="92" t="n">
        <f aca="false">SRC_Harness!$S26</f>
        <v>0</v>
      </c>
    </row>
    <row r="595" customFormat="false" ht="15" hidden="false" customHeight="false" outlineLevel="0" collapsed="false">
      <c r="A595" s="92" t="str">
        <f aca="false">SRC_Harness!$A27&amp;""</f>
        <v/>
      </c>
      <c r="B595" s="61" t="s">
        <v>8480</v>
      </c>
      <c r="C595" s="60" t="n">
        <v>27</v>
      </c>
      <c r="D595" s="92" t="n">
        <f aca="false">SRC_Harness!$O27</f>
        <v>0</v>
      </c>
      <c r="E595" s="92" t="n">
        <f aca="false">SRC_Harness!$K27</f>
        <v>0</v>
      </c>
      <c r="F595" s="92" t="n">
        <f aca="false">SRC_Harness!$S27</f>
        <v>0</v>
      </c>
    </row>
    <row r="596" customFormat="false" ht="15" hidden="false" customHeight="false" outlineLevel="0" collapsed="false">
      <c r="A596" s="92" t="str">
        <f aca="false">SRC_Harness!$A28&amp;""</f>
        <v/>
      </c>
      <c r="B596" s="61" t="s">
        <v>8480</v>
      </c>
      <c r="C596" s="60" t="n">
        <v>28</v>
      </c>
      <c r="D596" s="92" t="n">
        <f aca="false">SRC_Harness!$O28</f>
        <v>0</v>
      </c>
      <c r="E596" s="92" t="n">
        <f aca="false">SRC_Harness!$K28</f>
        <v>0</v>
      </c>
      <c r="F596" s="92" t="n">
        <f aca="false">SRC_Harness!$S28</f>
        <v>0</v>
      </c>
    </row>
    <row r="597" customFormat="false" ht="15" hidden="false" customHeight="false" outlineLevel="0" collapsed="false">
      <c r="A597" s="92" t="str">
        <f aca="false">SRC_Harness!$A29&amp;""</f>
        <v/>
      </c>
      <c r="B597" s="61" t="s">
        <v>8480</v>
      </c>
      <c r="C597" s="60" t="n">
        <v>29</v>
      </c>
      <c r="D597" s="92" t="n">
        <f aca="false">SRC_Harness!$O29</f>
        <v>0</v>
      </c>
      <c r="E597" s="92" t="n">
        <f aca="false">SRC_Harness!$K29</f>
        <v>0</v>
      </c>
      <c r="F597" s="92" t="n">
        <f aca="false">SRC_Harness!$S29</f>
        <v>0</v>
      </c>
    </row>
    <row r="598" customFormat="false" ht="15" hidden="false" customHeight="false" outlineLevel="0" collapsed="false">
      <c r="A598" s="92" t="str">
        <f aca="false">SRC_Harness!$A30&amp;""</f>
        <v/>
      </c>
      <c r="B598" s="61" t="s">
        <v>8480</v>
      </c>
      <c r="C598" s="60" t="n">
        <v>30</v>
      </c>
      <c r="D598" s="92" t="n">
        <f aca="false">SRC_Harness!$O30</f>
        <v>0</v>
      </c>
      <c r="E598" s="92" t="n">
        <f aca="false">SRC_Harness!$K30</f>
        <v>0</v>
      </c>
      <c r="F598" s="92" t="n">
        <f aca="false">SRC_Harness!$S30</f>
        <v>0</v>
      </c>
    </row>
    <row r="599" customFormat="false" ht="15" hidden="false" customHeight="false" outlineLevel="0" collapsed="false">
      <c r="A599" s="92" t="str">
        <f aca="false">SRC_Harness!$A31&amp;""</f>
        <v/>
      </c>
      <c r="B599" s="61" t="s">
        <v>8480</v>
      </c>
      <c r="C599" s="60" t="n">
        <v>31</v>
      </c>
      <c r="D599" s="92" t="n">
        <f aca="false">SRC_Harness!$O31</f>
        <v>0</v>
      </c>
      <c r="E599" s="92" t="n">
        <f aca="false">SRC_Harness!$K31</f>
        <v>0</v>
      </c>
      <c r="F599" s="92" t="n">
        <f aca="false">SRC_Harness!$S31</f>
        <v>0</v>
      </c>
    </row>
    <row r="600" customFormat="false" ht="15" hidden="false" customHeight="false" outlineLevel="0" collapsed="false">
      <c r="A600" s="92" t="str">
        <f aca="false">SRC_Harness!$A32&amp;""</f>
        <v/>
      </c>
      <c r="B600" s="61" t="s">
        <v>8480</v>
      </c>
      <c r="C600" s="60" t="n">
        <v>32</v>
      </c>
      <c r="D600" s="92" t="n">
        <f aca="false">SRC_Harness!$O32</f>
        <v>0</v>
      </c>
      <c r="E600" s="92" t="n">
        <f aca="false">SRC_Harness!$K32</f>
        <v>0</v>
      </c>
      <c r="F600" s="92" t="n">
        <f aca="false">SRC_Harness!$S32</f>
        <v>0</v>
      </c>
    </row>
    <row r="601" customFormat="false" ht="15" hidden="false" customHeight="false" outlineLevel="0" collapsed="false">
      <c r="A601" s="92" t="str">
        <f aca="false">SRC_Harness!$A33&amp;""</f>
        <v/>
      </c>
      <c r="B601" s="61" t="s">
        <v>8480</v>
      </c>
      <c r="C601" s="60" t="n">
        <v>33</v>
      </c>
      <c r="D601" s="92" t="n">
        <f aca="false">SRC_Harness!$O33</f>
        <v>0</v>
      </c>
      <c r="E601" s="92" t="n">
        <f aca="false">SRC_Harness!$K33</f>
        <v>0</v>
      </c>
      <c r="F601" s="92" t="n">
        <f aca="false">SRC_Harness!$S33</f>
        <v>0</v>
      </c>
    </row>
    <row r="602" customFormat="false" ht="15" hidden="false" customHeight="false" outlineLevel="0" collapsed="false">
      <c r="A602" s="92" t="str">
        <f aca="false">SRC_Harness!$A34&amp;""</f>
        <v/>
      </c>
      <c r="B602" s="61" t="s">
        <v>8480</v>
      </c>
      <c r="C602" s="60" t="n">
        <v>34</v>
      </c>
      <c r="D602" s="92" t="n">
        <f aca="false">SRC_Harness!$O34</f>
        <v>0</v>
      </c>
      <c r="E602" s="92" t="n">
        <f aca="false">SRC_Harness!$K34</f>
        <v>0</v>
      </c>
      <c r="F602" s="92" t="n">
        <f aca="false">SRC_Harness!$S34</f>
        <v>0</v>
      </c>
    </row>
    <row r="603" customFormat="false" ht="15" hidden="false" customHeight="false" outlineLevel="0" collapsed="false">
      <c r="A603" s="92" t="str">
        <f aca="false">SRC_Harness!$A35&amp;""</f>
        <v/>
      </c>
      <c r="B603" s="61" t="s">
        <v>8480</v>
      </c>
      <c r="C603" s="60" t="n">
        <v>35</v>
      </c>
      <c r="D603" s="92" t="n">
        <f aca="false">SRC_Harness!$O35</f>
        <v>0</v>
      </c>
      <c r="E603" s="92" t="n">
        <f aca="false">SRC_Harness!$K35</f>
        <v>0</v>
      </c>
      <c r="F603" s="92" t="n">
        <f aca="false">SRC_Harness!$S35</f>
        <v>0</v>
      </c>
    </row>
    <row r="604" customFormat="false" ht="15" hidden="false" customHeight="false" outlineLevel="0" collapsed="false">
      <c r="A604" s="92" t="str">
        <f aca="false">SRC_Harness!$A36&amp;""</f>
        <v/>
      </c>
      <c r="B604" s="61" t="s">
        <v>8480</v>
      </c>
      <c r="C604" s="60" t="n">
        <v>36</v>
      </c>
      <c r="D604" s="92" t="n">
        <f aca="false">SRC_Harness!$O36</f>
        <v>0</v>
      </c>
      <c r="E604" s="92" t="n">
        <f aca="false">SRC_Harness!$K36</f>
        <v>0</v>
      </c>
      <c r="F604" s="92" t="n">
        <f aca="false">SRC_Harness!$S36</f>
        <v>0</v>
      </c>
    </row>
    <row r="605" customFormat="false" ht="15" hidden="false" customHeight="false" outlineLevel="0" collapsed="false">
      <c r="A605" s="92" t="str">
        <f aca="false">SRC_Harness!$A37&amp;""</f>
        <v/>
      </c>
      <c r="B605" s="61" t="s">
        <v>8480</v>
      </c>
      <c r="C605" s="60" t="n">
        <v>37</v>
      </c>
      <c r="D605" s="92" t="n">
        <f aca="false">SRC_Harness!$O37</f>
        <v>0</v>
      </c>
      <c r="E605" s="92" t="n">
        <f aca="false">SRC_Harness!$K37</f>
        <v>0</v>
      </c>
      <c r="F605" s="92" t="n">
        <f aca="false">SRC_Harness!$S37</f>
        <v>0</v>
      </c>
    </row>
    <row r="606" customFormat="false" ht="15" hidden="false" customHeight="false" outlineLevel="0" collapsed="false">
      <c r="A606" s="92" t="str">
        <f aca="false">SRC_Harness!$A38&amp;""</f>
        <v/>
      </c>
      <c r="B606" s="61" t="s">
        <v>8480</v>
      </c>
      <c r="C606" s="60" t="n">
        <v>38</v>
      </c>
      <c r="D606" s="92" t="n">
        <f aca="false">SRC_Harness!$O38</f>
        <v>0</v>
      </c>
      <c r="E606" s="92" t="n">
        <f aca="false">SRC_Harness!$K38</f>
        <v>0</v>
      </c>
      <c r="F606" s="92" t="n">
        <f aca="false">SRC_Harness!$S38</f>
        <v>0</v>
      </c>
    </row>
    <row r="607" customFormat="false" ht="15" hidden="false" customHeight="false" outlineLevel="0" collapsed="false">
      <c r="A607" s="92" t="str">
        <f aca="false">SRC_Harness!$A39&amp;""</f>
        <v/>
      </c>
      <c r="B607" s="61" t="s">
        <v>8480</v>
      </c>
      <c r="C607" s="60" t="n">
        <v>39</v>
      </c>
      <c r="D607" s="92" t="n">
        <f aca="false">SRC_Harness!$O39</f>
        <v>0</v>
      </c>
      <c r="E607" s="92" t="n">
        <f aca="false">SRC_Harness!$K39</f>
        <v>0</v>
      </c>
      <c r="F607" s="92" t="n">
        <f aca="false">SRC_Harness!$S39</f>
        <v>0</v>
      </c>
    </row>
    <row r="608" customFormat="false" ht="15" hidden="false" customHeight="false" outlineLevel="0" collapsed="false">
      <c r="A608" s="92" t="str">
        <f aca="false">SRC_Harness!$A40&amp;""</f>
        <v/>
      </c>
      <c r="B608" s="61" t="s">
        <v>8480</v>
      </c>
      <c r="C608" s="60" t="n">
        <v>40</v>
      </c>
      <c r="D608" s="92" t="n">
        <f aca="false">SRC_Harness!$O40</f>
        <v>0</v>
      </c>
      <c r="E608" s="92" t="n">
        <f aca="false">SRC_Harness!$K40</f>
        <v>0</v>
      </c>
      <c r="F608" s="92" t="n">
        <f aca="false">SRC_Harness!$S40</f>
        <v>0</v>
      </c>
    </row>
    <row r="609" customFormat="false" ht="15" hidden="false" customHeight="false" outlineLevel="0" collapsed="false">
      <c r="A609" s="92" t="str">
        <f aca="false">SRC_Harness!$A41&amp;""</f>
        <v/>
      </c>
      <c r="B609" s="61" t="s">
        <v>8480</v>
      </c>
      <c r="C609" s="60" t="n">
        <v>41</v>
      </c>
      <c r="D609" s="92" t="n">
        <f aca="false">SRC_Harness!$O41</f>
        <v>0</v>
      </c>
      <c r="E609" s="92" t="n">
        <f aca="false">SRC_Harness!$K41</f>
        <v>0</v>
      </c>
      <c r="F609" s="92" t="n">
        <f aca="false">SRC_Harness!$S41</f>
        <v>0</v>
      </c>
    </row>
    <row r="610" customFormat="false" ht="15" hidden="false" customHeight="false" outlineLevel="0" collapsed="false">
      <c r="A610" s="92" t="str">
        <f aca="false">SRC_Harness!$A42&amp;""</f>
        <v/>
      </c>
      <c r="B610" s="61" t="s">
        <v>8480</v>
      </c>
      <c r="C610" s="60" t="n">
        <v>42</v>
      </c>
      <c r="D610" s="92" t="n">
        <f aca="false">SRC_Harness!$O42</f>
        <v>0</v>
      </c>
      <c r="E610" s="92" t="n">
        <f aca="false">SRC_Harness!$K42</f>
        <v>0</v>
      </c>
      <c r="F610" s="92" t="n">
        <f aca="false">SRC_Harness!$S42</f>
        <v>0</v>
      </c>
    </row>
    <row r="611" customFormat="false" ht="15" hidden="false" customHeight="false" outlineLevel="0" collapsed="false">
      <c r="A611" s="92" t="str">
        <f aca="false">SRC_Harness!$A43&amp;""</f>
        <v/>
      </c>
      <c r="B611" s="61" t="s">
        <v>8480</v>
      </c>
      <c r="C611" s="60" t="n">
        <v>43</v>
      </c>
      <c r="D611" s="92" t="n">
        <f aca="false">SRC_Harness!$O43</f>
        <v>0</v>
      </c>
      <c r="E611" s="92" t="n">
        <f aca="false">SRC_Harness!$K43</f>
        <v>0</v>
      </c>
      <c r="F611" s="92" t="n">
        <f aca="false">SRC_Harness!$S43</f>
        <v>0</v>
      </c>
    </row>
    <row r="612" customFormat="false" ht="15" hidden="false" customHeight="false" outlineLevel="0" collapsed="false">
      <c r="A612" s="92" t="str">
        <f aca="false">SRC_Harness!$A44&amp;""</f>
        <v/>
      </c>
      <c r="B612" s="61" t="s">
        <v>8480</v>
      </c>
      <c r="C612" s="60" t="n">
        <v>44</v>
      </c>
      <c r="D612" s="92" t="n">
        <f aca="false">SRC_Harness!$O44</f>
        <v>0</v>
      </c>
      <c r="E612" s="92" t="n">
        <f aca="false">SRC_Harness!$K44</f>
        <v>0</v>
      </c>
      <c r="F612" s="92" t="n">
        <f aca="false">SRC_Harness!$S44</f>
        <v>0</v>
      </c>
    </row>
    <row r="613" customFormat="false" ht="15" hidden="false" customHeight="false" outlineLevel="0" collapsed="false">
      <c r="A613" s="92" t="str">
        <f aca="false">SRC_Harness!$A45&amp;""</f>
        <v/>
      </c>
      <c r="B613" s="61" t="s">
        <v>8480</v>
      </c>
      <c r="C613" s="60" t="n">
        <v>45</v>
      </c>
      <c r="D613" s="92" t="n">
        <f aca="false">SRC_Harness!$O45</f>
        <v>0</v>
      </c>
      <c r="E613" s="92" t="n">
        <f aca="false">SRC_Harness!$K45</f>
        <v>0</v>
      </c>
      <c r="F613" s="92" t="n">
        <f aca="false">SRC_Harness!$S45</f>
        <v>0</v>
      </c>
    </row>
    <row r="614" customFormat="false" ht="15" hidden="false" customHeight="false" outlineLevel="0" collapsed="false">
      <c r="A614" s="92" t="str">
        <f aca="false">SRC_Harness!$A46&amp;""</f>
        <v/>
      </c>
      <c r="B614" s="61" t="s">
        <v>8480</v>
      </c>
      <c r="C614" s="60" t="n">
        <v>46</v>
      </c>
      <c r="D614" s="92" t="n">
        <f aca="false">SRC_Harness!$O46</f>
        <v>0</v>
      </c>
      <c r="E614" s="92" t="n">
        <f aca="false">SRC_Harness!$K46</f>
        <v>0</v>
      </c>
      <c r="F614" s="92" t="n">
        <f aca="false">SRC_Harness!$S46</f>
        <v>0</v>
      </c>
    </row>
    <row r="615" customFormat="false" ht="15" hidden="false" customHeight="false" outlineLevel="0" collapsed="false">
      <c r="A615" s="92" t="str">
        <f aca="false">SRC_Harness!$A47&amp;""</f>
        <v/>
      </c>
      <c r="B615" s="61" t="s">
        <v>8480</v>
      </c>
      <c r="C615" s="60" t="n">
        <v>47</v>
      </c>
      <c r="D615" s="92" t="n">
        <f aca="false">SRC_Harness!$O47</f>
        <v>0</v>
      </c>
      <c r="E615" s="92" t="n">
        <f aca="false">SRC_Harness!$K47</f>
        <v>0</v>
      </c>
      <c r="F615" s="92" t="n">
        <f aca="false">SRC_Harness!$S47</f>
        <v>0</v>
      </c>
    </row>
    <row r="616" customFormat="false" ht="15" hidden="false" customHeight="false" outlineLevel="0" collapsed="false">
      <c r="A616" s="92" t="str">
        <f aca="false">SRC_Harness!$A48&amp;""</f>
        <v/>
      </c>
      <c r="B616" s="61" t="s">
        <v>8480</v>
      </c>
      <c r="C616" s="60" t="n">
        <v>48</v>
      </c>
      <c r="D616" s="92" t="n">
        <f aca="false">SRC_Harness!$O48</f>
        <v>0</v>
      </c>
      <c r="E616" s="92" t="n">
        <f aca="false">SRC_Harness!$K48</f>
        <v>0</v>
      </c>
      <c r="F616" s="92" t="n">
        <f aca="false">SRC_Harness!$S48</f>
        <v>0</v>
      </c>
    </row>
    <row r="617" customFormat="false" ht="15" hidden="false" customHeight="false" outlineLevel="0" collapsed="false">
      <c r="A617" s="92" t="str">
        <f aca="false">SRC_Harness!$A49&amp;""</f>
        <v/>
      </c>
      <c r="B617" s="61" t="s">
        <v>8480</v>
      </c>
      <c r="C617" s="60" t="n">
        <v>49</v>
      </c>
      <c r="D617" s="92" t="n">
        <f aca="false">SRC_Harness!$O49</f>
        <v>0</v>
      </c>
      <c r="E617" s="92" t="n">
        <f aca="false">SRC_Harness!$K49</f>
        <v>0</v>
      </c>
      <c r="F617" s="92" t="n">
        <f aca="false">SRC_Harness!$S49</f>
        <v>0</v>
      </c>
    </row>
    <row r="618" customFormat="false" ht="15" hidden="false" customHeight="false" outlineLevel="0" collapsed="false">
      <c r="A618" s="92" t="str">
        <f aca="false">SRC_Harness!$A50&amp;""</f>
        <v/>
      </c>
      <c r="B618" s="61" t="s">
        <v>8480</v>
      </c>
      <c r="C618" s="60" t="n">
        <v>50</v>
      </c>
      <c r="D618" s="92" t="n">
        <f aca="false">SRC_Harness!$O50</f>
        <v>0</v>
      </c>
      <c r="E618" s="92" t="n">
        <f aca="false">SRC_Harness!$K50</f>
        <v>0</v>
      </c>
      <c r="F618" s="92" t="n">
        <f aca="false">SRC_Harness!$S50</f>
        <v>0</v>
      </c>
    </row>
    <row r="619" customFormat="false" ht="15" hidden="false" customHeight="false" outlineLevel="0" collapsed="false">
      <c r="A619" s="92" t="str">
        <f aca="false">SRC_Harness!$A51&amp;""</f>
        <v/>
      </c>
      <c r="B619" s="61" t="s">
        <v>8480</v>
      </c>
      <c r="C619" s="60" t="n">
        <v>51</v>
      </c>
      <c r="D619" s="92" t="n">
        <f aca="false">SRC_Harness!$O51</f>
        <v>0</v>
      </c>
      <c r="E619" s="92" t="n">
        <f aca="false">SRC_Harness!$K51</f>
        <v>0</v>
      </c>
      <c r="F619" s="92" t="n">
        <f aca="false">SRC_Harness!$S51</f>
        <v>0</v>
      </c>
    </row>
    <row r="620" customFormat="false" ht="15" hidden="false" customHeight="false" outlineLevel="0" collapsed="false">
      <c r="A620" s="92" t="str">
        <f aca="false">SRC_Harness!$A52&amp;""</f>
        <v/>
      </c>
      <c r="B620" s="61" t="s">
        <v>8480</v>
      </c>
      <c r="C620" s="60" t="n">
        <v>52</v>
      </c>
      <c r="D620" s="92" t="n">
        <f aca="false">SRC_Harness!$O52</f>
        <v>0</v>
      </c>
      <c r="E620" s="92" t="n">
        <f aca="false">SRC_Harness!$K52</f>
        <v>0</v>
      </c>
      <c r="F620" s="92" t="n">
        <f aca="false">SRC_Harness!$S52</f>
        <v>0</v>
      </c>
    </row>
    <row r="621" customFormat="false" ht="15" hidden="false" customHeight="false" outlineLevel="0" collapsed="false">
      <c r="A621" s="92" t="str">
        <f aca="false">SRC_Harness!$A53&amp;""</f>
        <v/>
      </c>
      <c r="B621" s="61" t="s">
        <v>8480</v>
      </c>
      <c r="C621" s="60" t="n">
        <v>53</v>
      </c>
      <c r="D621" s="92" t="n">
        <f aca="false">SRC_Harness!$O53</f>
        <v>0</v>
      </c>
      <c r="E621" s="92" t="n">
        <f aca="false">SRC_Harness!$K53</f>
        <v>0</v>
      </c>
      <c r="F621" s="92" t="n">
        <f aca="false">SRC_Harness!$S53</f>
        <v>0</v>
      </c>
    </row>
    <row r="622" customFormat="false" ht="15" hidden="false" customHeight="false" outlineLevel="0" collapsed="false">
      <c r="A622" s="92" t="str">
        <f aca="false">SRC_Harness!$A54&amp;""</f>
        <v/>
      </c>
      <c r="B622" s="61" t="s">
        <v>8480</v>
      </c>
      <c r="C622" s="60" t="n">
        <v>54</v>
      </c>
      <c r="D622" s="92" t="n">
        <f aca="false">SRC_Harness!$O54</f>
        <v>0</v>
      </c>
      <c r="E622" s="92" t="n">
        <f aca="false">SRC_Harness!$K54</f>
        <v>0</v>
      </c>
      <c r="F622" s="92" t="n">
        <f aca="false">SRC_Harness!$S54</f>
        <v>0</v>
      </c>
    </row>
    <row r="623" customFormat="false" ht="15" hidden="false" customHeight="false" outlineLevel="0" collapsed="false">
      <c r="A623" s="92" t="str">
        <f aca="false">SRC_Harness!$A55&amp;""</f>
        <v/>
      </c>
      <c r="B623" s="61" t="s">
        <v>8480</v>
      </c>
      <c r="C623" s="60" t="n">
        <v>55</v>
      </c>
      <c r="D623" s="92" t="n">
        <f aca="false">SRC_Harness!$O55</f>
        <v>0</v>
      </c>
      <c r="E623" s="92" t="n">
        <f aca="false">SRC_Harness!$K55</f>
        <v>0</v>
      </c>
      <c r="F623" s="92" t="n">
        <f aca="false">SRC_Harness!$S55</f>
        <v>0</v>
      </c>
    </row>
    <row r="624" customFormat="false" ht="15" hidden="false" customHeight="false" outlineLevel="0" collapsed="false">
      <c r="A624" s="92" t="str">
        <f aca="false">SRC_Harness!$A56&amp;""</f>
        <v/>
      </c>
      <c r="B624" s="61" t="s">
        <v>8480</v>
      </c>
      <c r="C624" s="60" t="n">
        <v>56</v>
      </c>
      <c r="D624" s="92" t="n">
        <f aca="false">SRC_Harness!$O56</f>
        <v>0</v>
      </c>
      <c r="E624" s="92" t="n">
        <f aca="false">SRC_Harness!$K56</f>
        <v>0</v>
      </c>
      <c r="F624" s="92" t="n">
        <f aca="false">SRC_Harness!$S56</f>
        <v>0</v>
      </c>
    </row>
    <row r="625" customFormat="false" ht="15" hidden="false" customHeight="false" outlineLevel="0" collapsed="false">
      <c r="A625" s="92" t="str">
        <f aca="false">SRC_Harness!$A57&amp;""</f>
        <v/>
      </c>
      <c r="B625" s="61" t="s">
        <v>8480</v>
      </c>
      <c r="C625" s="60" t="n">
        <v>57</v>
      </c>
      <c r="D625" s="92" t="n">
        <f aca="false">SRC_Harness!$O57</f>
        <v>0</v>
      </c>
      <c r="E625" s="92" t="n">
        <f aca="false">SRC_Harness!$K57</f>
        <v>0</v>
      </c>
      <c r="F625" s="92" t="n">
        <f aca="false">SRC_Harness!$S57</f>
        <v>0</v>
      </c>
    </row>
    <row r="626" customFormat="false" ht="15" hidden="false" customHeight="false" outlineLevel="0" collapsed="false">
      <c r="A626" s="92" t="str">
        <f aca="false">SRC_Harness!$A58&amp;""</f>
        <v/>
      </c>
      <c r="B626" s="61" t="s">
        <v>8480</v>
      </c>
      <c r="C626" s="60" t="n">
        <v>58</v>
      </c>
      <c r="D626" s="92" t="n">
        <f aca="false">SRC_Harness!$O58</f>
        <v>0</v>
      </c>
      <c r="E626" s="92" t="n">
        <f aca="false">SRC_Harness!$K58</f>
        <v>0</v>
      </c>
      <c r="F626" s="92" t="n">
        <f aca="false">SRC_Harness!$S58</f>
        <v>0</v>
      </c>
    </row>
    <row r="627" customFormat="false" ht="15" hidden="false" customHeight="false" outlineLevel="0" collapsed="false">
      <c r="A627" s="92" t="str">
        <f aca="false">SRC_Harness!$A59&amp;""</f>
        <v/>
      </c>
      <c r="B627" s="61" t="s">
        <v>8480</v>
      </c>
      <c r="C627" s="60" t="n">
        <v>59</v>
      </c>
      <c r="D627" s="92" t="n">
        <f aca="false">SRC_Harness!$O59</f>
        <v>0</v>
      </c>
      <c r="E627" s="92" t="n">
        <f aca="false">SRC_Harness!$K59</f>
        <v>0</v>
      </c>
      <c r="F627" s="92" t="n">
        <f aca="false">SRC_Harness!$S59</f>
        <v>0</v>
      </c>
    </row>
    <row r="628" customFormat="false" ht="15" hidden="false" customHeight="false" outlineLevel="0" collapsed="false">
      <c r="A628" s="92" t="str">
        <f aca="false">SRC_Harness!$A60&amp;""</f>
        <v/>
      </c>
      <c r="B628" s="61" t="s">
        <v>8480</v>
      </c>
      <c r="C628" s="60" t="n">
        <v>60</v>
      </c>
      <c r="D628" s="92" t="n">
        <f aca="false">SRC_Harness!$O60</f>
        <v>0</v>
      </c>
      <c r="E628" s="92" t="n">
        <f aca="false">SRC_Harness!$K60</f>
        <v>0</v>
      </c>
      <c r="F628" s="92" t="n">
        <f aca="false">SRC_Harness!$S60</f>
        <v>0</v>
      </c>
    </row>
    <row r="629" customFormat="false" ht="15" hidden="false" customHeight="false" outlineLevel="0" collapsed="false">
      <c r="A629" s="92" t="str">
        <f aca="false">SRC_Harness!$A61&amp;""</f>
        <v/>
      </c>
      <c r="B629" s="61" t="s">
        <v>8480</v>
      </c>
      <c r="C629" s="60" t="n">
        <v>61</v>
      </c>
      <c r="D629" s="92" t="n">
        <f aca="false">SRC_Harness!$O61</f>
        <v>0</v>
      </c>
      <c r="E629" s="92" t="n">
        <f aca="false">SRC_Harness!$K61</f>
        <v>0</v>
      </c>
      <c r="F629" s="92" t="n">
        <f aca="false">SRC_Harness!$S61</f>
        <v>0</v>
      </c>
    </row>
    <row r="630" customFormat="false" ht="15" hidden="false" customHeight="false" outlineLevel="0" collapsed="false">
      <c r="A630" s="92" t="str">
        <f aca="false">SRC_Harness!$A62&amp;""</f>
        <v/>
      </c>
      <c r="B630" s="61" t="s">
        <v>8480</v>
      </c>
      <c r="C630" s="60" t="n">
        <v>62</v>
      </c>
      <c r="D630" s="92" t="n">
        <f aca="false">SRC_Harness!$O62</f>
        <v>0</v>
      </c>
      <c r="E630" s="92" t="n">
        <f aca="false">SRC_Harness!$K62</f>
        <v>0</v>
      </c>
      <c r="F630" s="92" t="n">
        <f aca="false">SRC_Harness!$S62</f>
        <v>0</v>
      </c>
    </row>
    <row r="631" customFormat="false" ht="15" hidden="false" customHeight="false" outlineLevel="0" collapsed="false">
      <c r="A631" s="92" t="str">
        <f aca="false">SRC_Harness!$A63&amp;""</f>
        <v/>
      </c>
      <c r="B631" s="61" t="s">
        <v>8480</v>
      </c>
      <c r="C631" s="60" t="n">
        <v>63</v>
      </c>
      <c r="D631" s="92" t="n">
        <f aca="false">SRC_Harness!$O63</f>
        <v>0</v>
      </c>
      <c r="E631" s="92" t="n">
        <f aca="false">SRC_Harness!$K63</f>
        <v>0</v>
      </c>
      <c r="F631" s="92" t="n">
        <f aca="false">SRC_Harness!$S63</f>
        <v>0</v>
      </c>
    </row>
    <row r="632" customFormat="false" ht="15" hidden="false" customHeight="false" outlineLevel="0" collapsed="false">
      <c r="A632" s="92" t="str">
        <f aca="false">SRC_Harness!$A64&amp;""</f>
        <v/>
      </c>
      <c r="B632" s="61" t="s">
        <v>8480</v>
      </c>
      <c r="C632" s="60" t="n">
        <v>64</v>
      </c>
      <c r="D632" s="92" t="n">
        <f aca="false">SRC_Harness!$O64</f>
        <v>0</v>
      </c>
      <c r="E632" s="92" t="n">
        <f aca="false">SRC_Harness!$K64</f>
        <v>0</v>
      </c>
      <c r="F632" s="92" t="n">
        <f aca="false">SRC_Harness!$S64</f>
        <v>0</v>
      </c>
    </row>
    <row r="633" customFormat="false" ht="15" hidden="false" customHeight="false" outlineLevel="0" collapsed="false">
      <c r="A633" s="92" t="str">
        <f aca="false">SRC_Harness!$A65&amp;""</f>
        <v/>
      </c>
      <c r="B633" s="61" t="s">
        <v>8480</v>
      </c>
      <c r="C633" s="60" t="n">
        <v>65</v>
      </c>
      <c r="D633" s="92" t="n">
        <f aca="false">SRC_Harness!$O65</f>
        <v>0</v>
      </c>
      <c r="E633" s="92" t="n">
        <f aca="false">SRC_Harness!$K65</f>
        <v>0</v>
      </c>
      <c r="F633" s="92" t="n">
        <f aca="false">SRC_Harness!$S65</f>
        <v>0</v>
      </c>
    </row>
    <row r="634" customFormat="false" ht="15" hidden="false" customHeight="false" outlineLevel="0" collapsed="false">
      <c r="A634" s="92" t="str">
        <f aca="false">SRC_Harness!$A66&amp;""</f>
        <v/>
      </c>
      <c r="B634" s="61" t="s">
        <v>8480</v>
      </c>
      <c r="C634" s="60" t="n">
        <v>66</v>
      </c>
      <c r="D634" s="92" t="n">
        <f aca="false">SRC_Harness!$O66</f>
        <v>0</v>
      </c>
      <c r="E634" s="92" t="n">
        <f aca="false">SRC_Harness!$K66</f>
        <v>0</v>
      </c>
      <c r="F634" s="92" t="n">
        <f aca="false">SRC_Harness!$S66</f>
        <v>0</v>
      </c>
    </row>
    <row r="635" customFormat="false" ht="15" hidden="false" customHeight="false" outlineLevel="0" collapsed="false">
      <c r="A635" s="92" t="str">
        <f aca="false">SRC_Harness!$A67&amp;""</f>
        <v/>
      </c>
      <c r="B635" s="61" t="s">
        <v>8480</v>
      </c>
      <c r="C635" s="60" t="n">
        <v>67</v>
      </c>
      <c r="D635" s="92" t="n">
        <f aca="false">SRC_Harness!$O67</f>
        <v>0</v>
      </c>
      <c r="E635" s="92" t="n">
        <f aca="false">SRC_Harness!$K67</f>
        <v>0</v>
      </c>
      <c r="F635" s="92" t="n">
        <f aca="false">SRC_Harness!$S67</f>
        <v>0</v>
      </c>
    </row>
    <row r="636" customFormat="false" ht="15" hidden="false" customHeight="false" outlineLevel="0" collapsed="false">
      <c r="A636" s="92" t="str">
        <f aca="false">SRC_Harness!$A68&amp;""</f>
        <v/>
      </c>
      <c r="B636" s="61" t="s">
        <v>8480</v>
      </c>
      <c r="C636" s="60" t="n">
        <v>68</v>
      </c>
      <c r="D636" s="92" t="n">
        <f aca="false">SRC_Harness!$O68</f>
        <v>0</v>
      </c>
      <c r="E636" s="92" t="n">
        <f aca="false">SRC_Harness!$K68</f>
        <v>0</v>
      </c>
      <c r="F636" s="92" t="n">
        <f aca="false">SRC_Harness!$S68</f>
        <v>0</v>
      </c>
    </row>
    <row r="637" customFormat="false" ht="15" hidden="false" customHeight="false" outlineLevel="0" collapsed="false">
      <c r="A637" s="92" t="str">
        <f aca="false">SRC_Harness!$A69&amp;""</f>
        <v/>
      </c>
      <c r="B637" s="61" t="s">
        <v>8480</v>
      </c>
      <c r="C637" s="60" t="n">
        <v>69</v>
      </c>
      <c r="D637" s="92" t="n">
        <f aca="false">SRC_Harness!$O69</f>
        <v>0</v>
      </c>
      <c r="E637" s="92" t="n">
        <f aca="false">SRC_Harness!$K69</f>
        <v>0</v>
      </c>
      <c r="F637" s="92" t="n">
        <f aca="false">SRC_Harness!$S69</f>
        <v>0</v>
      </c>
    </row>
    <row r="638" customFormat="false" ht="15" hidden="false" customHeight="false" outlineLevel="0" collapsed="false">
      <c r="A638" s="92" t="str">
        <f aca="false">SRC_Demand!$A5&amp;""</f>
        <v>SRC_DEM_001</v>
      </c>
      <c r="B638" s="61" t="s">
        <v>8481</v>
      </c>
      <c r="C638" s="60" t="n">
        <v>5</v>
      </c>
      <c r="D638" s="92" t="str">
        <f aca="false">SRC_Demand!$O5</f>
        <v>Active</v>
      </c>
      <c r="E638" s="92" t="n">
        <f aca="false">SRC_Demand!$K5</f>
        <v>1</v>
      </c>
      <c r="F638" s="92" t="str">
        <f aca="false">SRC_Demand!$S5</f>
        <v>—</v>
      </c>
    </row>
    <row r="639" customFormat="false" ht="15" hidden="false" customHeight="false" outlineLevel="0" collapsed="false">
      <c r="A639" s="92" t="str">
        <f aca="false">SRC_Demand!$A6&amp;""</f>
        <v>SRC_DEM_002</v>
      </c>
      <c r="B639" s="61" t="s">
        <v>8481</v>
      </c>
      <c r="C639" s="60" t="n">
        <v>6</v>
      </c>
      <c r="D639" s="92" t="str">
        <f aca="false">SRC_Demand!$O6</f>
        <v>Active</v>
      </c>
      <c r="E639" s="92" t="n">
        <f aca="false">SRC_Demand!$K6</f>
        <v>1</v>
      </c>
      <c r="F639" s="92" t="str">
        <f aca="false">SRC_Demand!$S6</f>
        <v>—</v>
      </c>
    </row>
    <row r="640" customFormat="false" ht="15" hidden="false" customHeight="false" outlineLevel="0" collapsed="false">
      <c r="A640" s="92" t="str">
        <f aca="false">SRC_Demand!$A7&amp;""</f>
        <v>SRC_DEM_003</v>
      </c>
      <c r="B640" s="61" t="s">
        <v>8481</v>
      </c>
      <c r="C640" s="60" t="n">
        <v>7</v>
      </c>
      <c r="D640" s="92" t="str">
        <f aca="false">SRC_Demand!$O7</f>
        <v>Active</v>
      </c>
      <c r="E640" s="92" t="n">
        <f aca="false">SRC_Demand!$K7</f>
        <v>1</v>
      </c>
      <c r="F640" s="92" t="str">
        <f aca="false">SRC_Demand!$S7</f>
        <v>—</v>
      </c>
    </row>
    <row r="641" customFormat="false" ht="15" hidden="false" customHeight="false" outlineLevel="0" collapsed="false">
      <c r="A641" s="92" t="str">
        <f aca="false">SRC_Demand!$A8&amp;""</f>
        <v>SRC_DEM_004</v>
      </c>
      <c r="B641" s="61" t="s">
        <v>8481</v>
      </c>
      <c r="C641" s="60" t="n">
        <v>8</v>
      </c>
      <c r="D641" s="92" t="str">
        <f aca="false">SRC_Demand!$O8</f>
        <v>Active</v>
      </c>
      <c r="E641" s="92" t="n">
        <f aca="false">SRC_Demand!$K8</f>
        <v>2</v>
      </c>
      <c r="F641" s="92" t="str">
        <f aca="false">SRC_Demand!$S8</f>
        <v>—</v>
      </c>
    </row>
    <row r="642" customFormat="false" ht="15" hidden="false" customHeight="false" outlineLevel="0" collapsed="false">
      <c r="A642" s="92" t="str">
        <f aca="false">SRC_Demand!$A9&amp;""</f>
        <v>SRC_DEM_005</v>
      </c>
      <c r="B642" s="61" t="s">
        <v>8481</v>
      </c>
      <c r="C642" s="60" t="n">
        <v>9</v>
      </c>
      <c r="D642" s="92" t="str">
        <f aca="false">SRC_Demand!$O9</f>
        <v>Active</v>
      </c>
      <c r="E642" s="92" t="n">
        <f aca="false">SRC_Demand!$K9</f>
        <v>2</v>
      </c>
      <c r="F642" s="92" t="str">
        <f aca="false">SRC_Demand!$S9</f>
        <v>—</v>
      </c>
    </row>
    <row r="643" customFormat="false" ht="15" hidden="false" customHeight="false" outlineLevel="0" collapsed="false">
      <c r="A643" s="92" t="str">
        <f aca="false">SRC_Demand!$A10&amp;""</f>
        <v>SRC_DEM_006</v>
      </c>
      <c r="B643" s="61" t="s">
        <v>8481</v>
      </c>
      <c r="C643" s="60" t="n">
        <v>10</v>
      </c>
      <c r="D643" s="92" t="str">
        <f aca="false">SRC_Demand!$O10</f>
        <v>Active</v>
      </c>
      <c r="E643" s="92" t="n">
        <f aca="false">SRC_Demand!$K10</f>
        <v>2</v>
      </c>
      <c r="F643" s="92" t="str">
        <f aca="false">SRC_Demand!$S10</f>
        <v>—</v>
      </c>
    </row>
    <row r="644" customFormat="false" ht="15" hidden="false" customHeight="false" outlineLevel="0" collapsed="false">
      <c r="A644" s="92" t="str">
        <f aca="false">SRC_Demand!$A11&amp;""</f>
        <v>SRC_DEM_007</v>
      </c>
      <c r="B644" s="61" t="s">
        <v>8481</v>
      </c>
      <c r="C644" s="60" t="n">
        <v>11</v>
      </c>
      <c r="D644" s="92" t="str">
        <f aca="false">SRC_Demand!$O11</f>
        <v>Active</v>
      </c>
      <c r="E644" s="92" t="n">
        <f aca="false">SRC_Demand!$K11</f>
        <v>2</v>
      </c>
      <c r="F644" s="92" t="str">
        <f aca="false">SRC_Demand!$S11</f>
        <v>—</v>
      </c>
    </row>
    <row r="645" customFormat="false" ht="15" hidden="false" customHeight="false" outlineLevel="0" collapsed="false">
      <c r="A645" s="92" t="str">
        <f aca="false">SRC_Demand!$A12&amp;""</f>
        <v>SRC_DEM_008</v>
      </c>
      <c r="B645" s="61" t="s">
        <v>8481</v>
      </c>
      <c r="C645" s="60" t="n">
        <v>12</v>
      </c>
      <c r="D645" s="92" t="str">
        <f aca="false">SRC_Demand!$O12</f>
        <v>Active</v>
      </c>
      <c r="E645" s="92" t="n">
        <f aca="false">SRC_Demand!$K12</f>
        <v>2</v>
      </c>
      <c r="F645" s="92" t="str">
        <f aca="false">SRC_Demand!$S12</f>
        <v>—</v>
      </c>
    </row>
    <row r="646" customFormat="false" ht="15" hidden="false" customHeight="false" outlineLevel="0" collapsed="false">
      <c r="A646" s="92" t="str">
        <f aca="false">SRC_Demand!$A13&amp;""</f>
        <v>SRC_DEM_009</v>
      </c>
      <c r="B646" s="61" t="s">
        <v>8481</v>
      </c>
      <c r="C646" s="60" t="n">
        <v>13</v>
      </c>
      <c r="D646" s="92" t="str">
        <f aca="false">SRC_Demand!$O13</f>
        <v>Active</v>
      </c>
      <c r="E646" s="92" t="n">
        <f aca="false">SRC_Demand!$K13</f>
        <v>2</v>
      </c>
      <c r="F646" s="92" t="str">
        <f aca="false">SRC_Demand!$S13</f>
        <v>—</v>
      </c>
    </row>
    <row r="647" customFormat="false" ht="15" hidden="false" customHeight="false" outlineLevel="0" collapsed="false">
      <c r="A647" s="92" t="str">
        <f aca="false">SRC_Demand!$A14&amp;""</f>
        <v>SRC_DEM_010</v>
      </c>
      <c r="B647" s="61" t="s">
        <v>8481</v>
      </c>
      <c r="C647" s="60" t="n">
        <v>14</v>
      </c>
      <c r="D647" s="92" t="str">
        <f aca="false">SRC_Demand!$O14</f>
        <v>Active</v>
      </c>
      <c r="E647" s="92" t="n">
        <f aca="false">SRC_Demand!$K14</f>
        <v>2</v>
      </c>
      <c r="F647" s="92" t="str">
        <f aca="false">SRC_Demand!$S14</f>
        <v>—</v>
      </c>
    </row>
    <row r="648" customFormat="false" ht="15" hidden="false" customHeight="false" outlineLevel="0" collapsed="false">
      <c r="A648" s="92" t="str">
        <f aca="false">SRC_Demand!$A15&amp;""</f>
        <v>SRC_DEM_011</v>
      </c>
      <c r="B648" s="61" t="s">
        <v>8481</v>
      </c>
      <c r="C648" s="60" t="n">
        <v>15</v>
      </c>
      <c r="D648" s="92" t="str">
        <f aca="false">SRC_Demand!$O15</f>
        <v>Active</v>
      </c>
      <c r="E648" s="92" t="n">
        <f aca="false">SRC_Demand!$K15</f>
        <v>1</v>
      </c>
      <c r="F648" s="92" t="str">
        <f aca="false">SRC_Demand!$S15</f>
        <v>2026-10-05</v>
      </c>
    </row>
    <row r="649" customFormat="false" ht="15" hidden="false" customHeight="false" outlineLevel="0" collapsed="false">
      <c r="A649" s="92" t="str">
        <f aca="false">SRC_Demand!$A16&amp;""</f>
        <v>SRC_DEM_012</v>
      </c>
      <c r="B649" s="61" t="s">
        <v>8481</v>
      </c>
      <c r="C649" s="60" t="n">
        <v>16</v>
      </c>
      <c r="D649" s="92" t="str">
        <f aca="false">SRC_Demand!$O16</f>
        <v>Active</v>
      </c>
      <c r="E649" s="92" t="n">
        <f aca="false">SRC_Demand!$K16</f>
        <v>2</v>
      </c>
      <c r="F649" s="92" t="str">
        <f aca="false">SRC_Demand!$S16</f>
        <v>—</v>
      </c>
    </row>
    <row r="650" customFormat="false" ht="15" hidden="false" customHeight="false" outlineLevel="0" collapsed="false">
      <c r="A650" s="92" t="str">
        <f aca="false">SRC_Demand!$A17&amp;""</f>
        <v>SRC_DEM_013</v>
      </c>
      <c r="B650" s="61" t="s">
        <v>8481</v>
      </c>
      <c r="C650" s="60" t="n">
        <v>17</v>
      </c>
      <c r="D650" s="92" t="str">
        <f aca="false">SRC_Demand!$O17</f>
        <v>Active</v>
      </c>
      <c r="E650" s="92" t="n">
        <f aca="false">SRC_Demand!$K17</f>
        <v>1</v>
      </c>
      <c r="F650" s="92" t="str">
        <f aca="false">SRC_Demand!$S17</f>
        <v>2026-10-05</v>
      </c>
    </row>
    <row r="651" customFormat="false" ht="15" hidden="false" customHeight="false" outlineLevel="0" collapsed="false">
      <c r="A651" s="92" t="str">
        <f aca="false">SRC_Demand!$A18&amp;""</f>
        <v>SRC_DEM_014</v>
      </c>
      <c r="B651" s="61" t="s">
        <v>8481</v>
      </c>
      <c r="C651" s="60" t="n">
        <v>18</v>
      </c>
      <c r="D651" s="92" t="str">
        <f aca="false">SRC_Demand!$O18</f>
        <v>Active</v>
      </c>
      <c r="E651" s="92" t="n">
        <f aca="false">SRC_Demand!$K18</f>
        <v>1</v>
      </c>
      <c r="F651" s="92" t="str">
        <f aca="false">SRC_Demand!$S18</f>
        <v>—</v>
      </c>
    </row>
    <row r="652" customFormat="false" ht="15" hidden="false" customHeight="false" outlineLevel="0" collapsed="false">
      <c r="A652" s="92" t="str">
        <f aca="false">SRC_Demand!$A19&amp;""</f>
        <v>SRC_DEM_015</v>
      </c>
      <c r="B652" s="61" t="s">
        <v>8481</v>
      </c>
      <c r="C652" s="60" t="n">
        <v>19</v>
      </c>
      <c r="D652" s="92" t="str">
        <f aca="false">SRC_Demand!$O19</f>
        <v>Active</v>
      </c>
      <c r="E652" s="92" t="n">
        <f aca="false">SRC_Demand!$K19</f>
        <v>1</v>
      </c>
      <c r="F652" s="92" t="str">
        <f aca="false">SRC_Demand!$S19</f>
        <v>—</v>
      </c>
    </row>
    <row r="653" customFormat="false" ht="15" hidden="false" customHeight="false" outlineLevel="0" collapsed="false">
      <c r="A653" s="92" t="str">
        <f aca="false">SRC_Demand!$A20&amp;""</f>
        <v>SRC_DEM_016</v>
      </c>
      <c r="B653" s="61" t="s">
        <v>8481</v>
      </c>
      <c r="C653" s="60" t="n">
        <v>20</v>
      </c>
      <c r="D653" s="92" t="str">
        <f aca="false">SRC_Demand!$O20</f>
        <v>Active</v>
      </c>
      <c r="E653" s="92" t="n">
        <f aca="false">SRC_Demand!$K20</f>
        <v>1</v>
      </c>
      <c r="F653" s="92" t="str">
        <f aca="false">SRC_Demand!$S20</f>
        <v>—</v>
      </c>
    </row>
    <row r="654" customFormat="false" ht="15" hidden="false" customHeight="false" outlineLevel="0" collapsed="false">
      <c r="A654" s="92" t="str">
        <f aca="false">SRC_Demand!$A21&amp;""</f>
        <v>SRC_DEM_017</v>
      </c>
      <c r="B654" s="61" t="s">
        <v>8481</v>
      </c>
      <c r="C654" s="60" t="n">
        <v>21</v>
      </c>
      <c r="D654" s="92" t="str">
        <f aca="false">SRC_Demand!$O21</f>
        <v>Active</v>
      </c>
      <c r="E654" s="92" t="n">
        <f aca="false">SRC_Demand!$K21</f>
        <v>1</v>
      </c>
      <c r="F654" s="92" t="str">
        <f aca="false">SRC_Demand!$S21</f>
        <v>—</v>
      </c>
    </row>
    <row r="655" customFormat="false" ht="15" hidden="false" customHeight="false" outlineLevel="0" collapsed="false">
      <c r="A655" s="92" t="str">
        <f aca="false">SRC_Demand!$A22&amp;""</f>
        <v>SRC_DEM_018</v>
      </c>
      <c r="B655" s="61" t="s">
        <v>8481</v>
      </c>
      <c r="C655" s="60" t="n">
        <v>22</v>
      </c>
      <c r="D655" s="92" t="str">
        <f aca="false">SRC_Demand!$O22</f>
        <v>Active</v>
      </c>
      <c r="E655" s="92" t="n">
        <f aca="false">SRC_Demand!$K22</f>
        <v>2</v>
      </c>
      <c r="F655" s="92" t="str">
        <f aca="false">SRC_Demand!$S22</f>
        <v>—</v>
      </c>
    </row>
    <row r="656" customFormat="false" ht="15" hidden="false" customHeight="false" outlineLevel="0" collapsed="false">
      <c r="A656" s="92" t="str">
        <f aca="false">SRC_Demand!$A23&amp;""</f>
        <v>SRC_DEM_019</v>
      </c>
      <c r="B656" s="61" t="s">
        <v>8481</v>
      </c>
      <c r="C656" s="60" t="n">
        <v>23</v>
      </c>
      <c r="D656" s="92" t="str">
        <f aca="false">SRC_Demand!$O23</f>
        <v>Active</v>
      </c>
      <c r="E656" s="92" t="n">
        <f aca="false">SRC_Demand!$K23</f>
        <v>1</v>
      </c>
      <c r="F656" s="92" t="str">
        <f aca="false">SRC_Demand!$S23</f>
        <v>—</v>
      </c>
    </row>
    <row r="657" customFormat="false" ht="15" hidden="false" customHeight="false" outlineLevel="0" collapsed="false">
      <c r="A657" s="92" t="str">
        <f aca="false">SRC_Demand!$A24&amp;""</f>
        <v>SRC_DEM_020</v>
      </c>
      <c r="B657" s="61" t="s">
        <v>8481</v>
      </c>
      <c r="C657" s="60" t="n">
        <v>24</v>
      </c>
      <c r="D657" s="92" t="str">
        <f aca="false">SRC_Demand!$O24</f>
        <v>Active</v>
      </c>
      <c r="E657" s="92" t="n">
        <f aca="false">SRC_Demand!$K24</f>
        <v>1</v>
      </c>
      <c r="F657" s="92" t="str">
        <f aca="false">SRC_Demand!$S24</f>
        <v>—</v>
      </c>
    </row>
    <row r="658" customFormat="false" ht="15" hidden="false" customHeight="false" outlineLevel="0" collapsed="false">
      <c r="A658" s="92" t="str">
        <f aca="false">SRC_Demand!$A25&amp;""</f>
        <v>SRC_DEM_021</v>
      </c>
      <c r="B658" s="61" t="s">
        <v>8481</v>
      </c>
      <c r="C658" s="60" t="n">
        <v>25</v>
      </c>
      <c r="D658" s="92" t="str">
        <f aca="false">SRC_Demand!$O25</f>
        <v>Active</v>
      </c>
      <c r="E658" s="92" t="n">
        <f aca="false">SRC_Demand!$K25</f>
        <v>1</v>
      </c>
      <c r="F658" s="92" t="str">
        <f aca="false">SRC_Demand!$S25</f>
        <v>—</v>
      </c>
    </row>
    <row r="659" customFormat="false" ht="15" hidden="false" customHeight="false" outlineLevel="0" collapsed="false">
      <c r="A659" s="92" t="str">
        <f aca="false">SRC_Demand!$A26&amp;""</f>
        <v>SRC_DEM_022</v>
      </c>
      <c r="B659" s="61" t="s">
        <v>8481</v>
      </c>
      <c r="C659" s="60" t="n">
        <v>26</v>
      </c>
      <c r="D659" s="92" t="str">
        <f aca="false">SRC_Demand!$O26</f>
        <v>Active</v>
      </c>
      <c r="E659" s="92" t="n">
        <f aca="false">SRC_Demand!$K26</f>
        <v>1</v>
      </c>
      <c r="F659" s="92" t="str">
        <f aca="false">SRC_Demand!$S26</f>
        <v>—</v>
      </c>
    </row>
    <row r="660" customFormat="false" ht="15" hidden="false" customHeight="false" outlineLevel="0" collapsed="false">
      <c r="A660" s="92" t="str">
        <f aca="false">SRC_Demand!$A27&amp;""</f>
        <v>SRC_DEM_023</v>
      </c>
      <c r="B660" s="61" t="s">
        <v>8481</v>
      </c>
      <c r="C660" s="60" t="n">
        <v>27</v>
      </c>
      <c r="D660" s="92" t="str">
        <f aca="false">SRC_Demand!$O27</f>
        <v>Active</v>
      </c>
      <c r="E660" s="92" t="n">
        <f aca="false">SRC_Demand!$K27</f>
        <v>1</v>
      </c>
      <c r="F660" s="92" t="str">
        <f aca="false">SRC_Demand!$S27</f>
        <v>—</v>
      </c>
    </row>
    <row r="661" customFormat="false" ht="15" hidden="false" customHeight="false" outlineLevel="0" collapsed="false">
      <c r="A661" s="92" t="str">
        <f aca="false">SRC_Demand!$A28&amp;""</f>
        <v>SRC_DEM_024</v>
      </c>
      <c r="B661" s="61" t="s">
        <v>8481</v>
      </c>
      <c r="C661" s="60" t="n">
        <v>28</v>
      </c>
      <c r="D661" s="92" t="str">
        <f aca="false">SRC_Demand!$O28</f>
        <v>Active</v>
      </c>
      <c r="E661" s="92" t="n">
        <f aca="false">SRC_Demand!$K28</f>
        <v>2</v>
      </c>
      <c r="F661" s="92" t="str">
        <f aca="false">SRC_Demand!$S28</f>
        <v>—</v>
      </c>
    </row>
    <row r="662" customFormat="false" ht="15" hidden="false" customHeight="false" outlineLevel="0" collapsed="false">
      <c r="A662" s="92" t="str">
        <f aca="false">SRC_Demand!$A29&amp;""</f>
        <v>SRC_DEM_025</v>
      </c>
      <c r="B662" s="61" t="s">
        <v>8481</v>
      </c>
      <c r="C662" s="60" t="n">
        <v>29</v>
      </c>
      <c r="D662" s="92" t="str">
        <f aca="false">SRC_Demand!$O29</f>
        <v>Active</v>
      </c>
      <c r="E662" s="92" t="n">
        <f aca="false">SRC_Demand!$K29</f>
        <v>2</v>
      </c>
      <c r="F662" s="92" t="str">
        <f aca="false">SRC_Demand!$S29</f>
        <v>—</v>
      </c>
    </row>
    <row r="663" customFormat="false" ht="15" hidden="false" customHeight="false" outlineLevel="0" collapsed="false">
      <c r="A663" s="92" t="str">
        <f aca="false">SRC_Demand!$A30&amp;""</f>
        <v>SRC_DEM_026</v>
      </c>
      <c r="B663" s="61" t="s">
        <v>8481</v>
      </c>
      <c r="C663" s="60" t="n">
        <v>30</v>
      </c>
      <c r="D663" s="92" t="str">
        <f aca="false">SRC_Demand!$O30</f>
        <v>Active</v>
      </c>
      <c r="E663" s="92" t="n">
        <f aca="false">SRC_Demand!$K30</f>
        <v>2</v>
      </c>
      <c r="F663" s="92" t="str">
        <f aca="false">SRC_Demand!$S30</f>
        <v>—</v>
      </c>
    </row>
    <row r="664" customFormat="false" ht="15" hidden="false" customHeight="false" outlineLevel="0" collapsed="false">
      <c r="A664" s="92" t="str">
        <f aca="false">SRC_Demand!$A31&amp;""</f>
        <v>SRC_DEM_027</v>
      </c>
      <c r="B664" s="61" t="s">
        <v>8481</v>
      </c>
      <c r="C664" s="60" t="n">
        <v>31</v>
      </c>
      <c r="D664" s="92" t="str">
        <f aca="false">SRC_Demand!$O31</f>
        <v>Active</v>
      </c>
      <c r="E664" s="92" t="n">
        <f aca="false">SRC_Demand!$K31</f>
        <v>2</v>
      </c>
      <c r="F664" s="92" t="str">
        <f aca="false">SRC_Demand!$S31</f>
        <v>—</v>
      </c>
    </row>
    <row r="665" customFormat="false" ht="15" hidden="false" customHeight="false" outlineLevel="0" collapsed="false">
      <c r="A665" s="92" t="str">
        <f aca="false">SRC_Demand!$A32&amp;""</f>
        <v>SRC_DEM_028</v>
      </c>
      <c r="B665" s="61" t="s">
        <v>8481</v>
      </c>
      <c r="C665" s="60" t="n">
        <v>32</v>
      </c>
      <c r="D665" s="92" t="str">
        <f aca="false">SRC_Demand!$O32</f>
        <v>Active</v>
      </c>
      <c r="E665" s="92" t="n">
        <f aca="false">SRC_Demand!$K32</f>
        <v>2</v>
      </c>
      <c r="F665" s="92" t="str">
        <f aca="false">SRC_Demand!$S32</f>
        <v>—</v>
      </c>
    </row>
    <row r="666" customFormat="false" ht="15" hidden="false" customHeight="false" outlineLevel="0" collapsed="false">
      <c r="A666" s="92" t="str">
        <f aca="false">SRC_Demand!$A33&amp;""</f>
        <v>SRC_DEM_029</v>
      </c>
      <c r="B666" s="61" t="s">
        <v>8481</v>
      </c>
      <c r="C666" s="60" t="n">
        <v>33</v>
      </c>
      <c r="D666" s="92" t="str">
        <f aca="false">SRC_Demand!$O33</f>
        <v>Active</v>
      </c>
      <c r="E666" s="92" t="n">
        <f aca="false">SRC_Demand!$K33</f>
        <v>2</v>
      </c>
      <c r="F666" s="92" t="str">
        <f aca="false">SRC_Demand!$S33</f>
        <v>—</v>
      </c>
    </row>
    <row r="667" customFormat="false" ht="15" hidden="false" customHeight="false" outlineLevel="0" collapsed="false">
      <c r="A667" s="92" t="str">
        <f aca="false">SRC_Demand!$A34&amp;""</f>
        <v>SRC_DEM_030</v>
      </c>
      <c r="B667" s="61" t="s">
        <v>8481</v>
      </c>
      <c r="C667" s="60" t="n">
        <v>34</v>
      </c>
      <c r="D667" s="92" t="str">
        <f aca="false">SRC_Demand!$O34</f>
        <v>Active</v>
      </c>
      <c r="E667" s="92" t="n">
        <f aca="false">SRC_Demand!$K34</f>
        <v>1</v>
      </c>
      <c r="F667" s="92" t="str">
        <f aca="false">SRC_Demand!$S34</f>
        <v>—</v>
      </c>
    </row>
    <row r="668" customFormat="false" ht="15" hidden="false" customHeight="false" outlineLevel="0" collapsed="false">
      <c r="A668" s="92" t="str">
        <f aca="false">SRC_Demand!$A35&amp;""</f>
        <v>SRC_DEM_031</v>
      </c>
      <c r="B668" s="61" t="s">
        <v>8481</v>
      </c>
      <c r="C668" s="60" t="n">
        <v>35</v>
      </c>
      <c r="D668" s="92" t="str">
        <f aca="false">SRC_Demand!$O35</f>
        <v>Active</v>
      </c>
      <c r="E668" s="92" t="n">
        <f aca="false">SRC_Demand!$K35</f>
        <v>2</v>
      </c>
      <c r="F668" s="92" t="str">
        <f aca="false">SRC_Demand!$S35</f>
        <v>—</v>
      </c>
    </row>
    <row r="669" customFormat="false" ht="15" hidden="false" customHeight="false" outlineLevel="0" collapsed="false">
      <c r="A669" s="92" t="str">
        <f aca="false">SRC_Demand!$A36&amp;""</f>
        <v>SRC_DEM_032</v>
      </c>
      <c r="B669" s="61" t="s">
        <v>8481</v>
      </c>
      <c r="C669" s="60" t="n">
        <v>36</v>
      </c>
      <c r="D669" s="92" t="str">
        <f aca="false">SRC_Demand!$O36</f>
        <v>Active</v>
      </c>
      <c r="E669" s="92" t="n">
        <f aca="false">SRC_Demand!$K36</f>
        <v>1</v>
      </c>
      <c r="F669" s="92" t="str">
        <f aca="false">SRC_Demand!$S36</f>
        <v>—</v>
      </c>
    </row>
    <row r="670" customFormat="false" ht="15" hidden="false" customHeight="false" outlineLevel="0" collapsed="false">
      <c r="A670" s="92" t="str">
        <f aca="false">SRC_Demand!$A37&amp;""</f>
        <v>SRC_DEM_033</v>
      </c>
      <c r="B670" s="61" t="s">
        <v>8481</v>
      </c>
      <c r="C670" s="60" t="n">
        <v>37</v>
      </c>
      <c r="D670" s="92" t="str">
        <f aca="false">SRC_Demand!$O37</f>
        <v>Active</v>
      </c>
      <c r="E670" s="92" t="n">
        <f aca="false">SRC_Demand!$K37</f>
        <v>1</v>
      </c>
      <c r="F670" s="92" t="str">
        <f aca="false">SRC_Demand!$S37</f>
        <v>—</v>
      </c>
    </row>
    <row r="671" customFormat="false" ht="15" hidden="false" customHeight="false" outlineLevel="0" collapsed="false">
      <c r="A671" s="92" t="str">
        <f aca="false">SRC_Demand!$A38&amp;""</f>
        <v>SRC_DEM_034</v>
      </c>
      <c r="B671" s="61" t="s">
        <v>8481</v>
      </c>
      <c r="C671" s="60" t="n">
        <v>38</v>
      </c>
      <c r="D671" s="92" t="str">
        <f aca="false">SRC_Demand!$O38</f>
        <v>Active</v>
      </c>
      <c r="E671" s="92" t="n">
        <f aca="false">SRC_Demand!$K38</f>
        <v>2</v>
      </c>
      <c r="F671" s="92" t="str">
        <f aca="false">SRC_Demand!$S38</f>
        <v>—</v>
      </c>
    </row>
    <row r="672" customFormat="false" ht="15" hidden="false" customHeight="false" outlineLevel="0" collapsed="false">
      <c r="A672" s="92" t="str">
        <f aca="false">SRC_Demand!$A39&amp;""</f>
        <v>SRC_DEM_035</v>
      </c>
      <c r="B672" s="61" t="s">
        <v>8481</v>
      </c>
      <c r="C672" s="60" t="n">
        <v>39</v>
      </c>
      <c r="D672" s="92" t="str">
        <f aca="false">SRC_Demand!$O39</f>
        <v>Active</v>
      </c>
      <c r="E672" s="92" t="n">
        <f aca="false">SRC_Demand!$K39</f>
        <v>2</v>
      </c>
      <c r="F672" s="92" t="str">
        <f aca="false">SRC_Demand!$S39</f>
        <v>—</v>
      </c>
    </row>
    <row r="673" customFormat="false" ht="15" hidden="false" customHeight="false" outlineLevel="0" collapsed="false">
      <c r="A673" s="92" t="str">
        <f aca="false">SRC_Demand!$A40&amp;""</f>
        <v>SRC_DEM_036</v>
      </c>
      <c r="B673" s="61" t="s">
        <v>8481</v>
      </c>
      <c r="C673" s="60" t="n">
        <v>40</v>
      </c>
      <c r="D673" s="92" t="str">
        <f aca="false">SRC_Demand!$O40</f>
        <v>Active</v>
      </c>
      <c r="E673" s="92" t="n">
        <f aca="false">SRC_Demand!$K40</f>
        <v>2</v>
      </c>
      <c r="F673" s="92" t="str">
        <f aca="false">SRC_Demand!$S40</f>
        <v>—</v>
      </c>
    </row>
    <row r="674" customFormat="false" ht="15" hidden="false" customHeight="false" outlineLevel="0" collapsed="false">
      <c r="A674" s="92" t="str">
        <f aca="false">SRC_Demand!$A41&amp;""</f>
        <v>SRC_DEM_037</v>
      </c>
      <c r="B674" s="61" t="s">
        <v>8481</v>
      </c>
      <c r="C674" s="60" t="n">
        <v>41</v>
      </c>
      <c r="D674" s="92" t="str">
        <f aca="false">SRC_Demand!$O41</f>
        <v>Active</v>
      </c>
      <c r="E674" s="92" t="n">
        <f aca="false">SRC_Demand!$K41</f>
        <v>2</v>
      </c>
      <c r="F674" s="92" t="str">
        <f aca="false">SRC_Demand!$S41</f>
        <v>—</v>
      </c>
    </row>
    <row r="675" customFormat="false" ht="15" hidden="false" customHeight="false" outlineLevel="0" collapsed="false">
      <c r="A675" s="92" t="str">
        <f aca="false">SRC_Demand!$A42&amp;""</f>
        <v>SRC_DEM_038</v>
      </c>
      <c r="B675" s="61" t="s">
        <v>8481</v>
      </c>
      <c r="C675" s="60" t="n">
        <v>42</v>
      </c>
      <c r="D675" s="92" t="str">
        <f aca="false">SRC_Demand!$O42</f>
        <v>Active</v>
      </c>
      <c r="E675" s="92" t="n">
        <f aca="false">SRC_Demand!$K42</f>
        <v>2</v>
      </c>
      <c r="F675" s="92" t="str">
        <f aca="false">SRC_Demand!$S42</f>
        <v>—</v>
      </c>
    </row>
    <row r="676" customFormat="false" ht="15" hidden="false" customHeight="false" outlineLevel="0" collapsed="false">
      <c r="A676" s="92" t="str">
        <f aca="false">SRC_Demand!$A43&amp;""</f>
        <v>SRC_DEM_039</v>
      </c>
      <c r="B676" s="61" t="s">
        <v>8481</v>
      </c>
      <c r="C676" s="60" t="n">
        <v>43</v>
      </c>
      <c r="D676" s="92" t="str">
        <f aca="false">SRC_Demand!$O43</f>
        <v>Active</v>
      </c>
      <c r="E676" s="92" t="n">
        <f aca="false">SRC_Demand!$K43</f>
        <v>2</v>
      </c>
      <c r="F676" s="92" t="str">
        <f aca="false">SRC_Demand!$S43</f>
        <v>—</v>
      </c>
    </row>
    <row r="677" customFormat="false" ht="15" hidden="false" customHeight="false" outlineLevel="0" collapsed="false">
      <c r="A677" s="92" t="str">
        <f aca="false">SRC_Demand!$A44&amp;""</f>
        <v>SRC_DEM_040</v>
      </c>
      <c r="B677" s="61" t="s">
        <v>8481</v>
      </c>
      <c r="C677" s="60" t="n">
        <v>44</v>
      </c>
      <c r="D677" s="92" t="str">
        <f aca="false">SRC_Demand!$O44</f>
        <v>Active</v>
      </c>
      <c r="E677" s="92" t="n">
        <f aca="false">SRC_Demand!$K44</f>
        <v>2</v>
      </c>
      <c r="F677" s="92" t="str">
        <f aca="false">SRC_Demand!$S44</f>
        <v>—</v>
      </c>
    </row>
    <row r="678" customFormat="false" ht="15" hidden="false" customHeight="false" outlineLevel="0" collapsed="false">
      <c r="A678" s="92" t="str">
        <f aca="false">SRC_Demand!$A45&amp;""</f>
        <v>SRC_DEM_041</v>
      </c>
      <c r="B678" s="61" t="s">
        <v>8481</v>
      </c>
      <c r="C678" s="60" t="n">
        <v>45</v>
      </c>
      <c r="D678" s="92" t="str">
        <f aca="false">SRC_Demand!$O45</f>
        <v>Active</v>
      </c>
      <c r="E678" s="92" t="n">
        <f aca="false">SRC_Demand!$K45</f>
        <v>2</v>
      </c>
      <c r="F678" s="92" t="str">
        <f aca="false">SRC_Demand!$S45</f>
        <v>—</v>
      </c>
    </row>
    <row r="679" customFormat="false" ht="15" hidden="false" customHeight="false" outlineLevel="0" collapsed="false">
      <c r="A679" s="92" t="str">
        <f aca="false">SRC_Demand!$A46&amp;""</f>
        <v>SRC_DEM_042</v>
      </c>
      <c r="B679" s="61" t="s">
        <v>8481</v>
      </c>
      <c r="C679" s="60" t="n">
        <v>46</v>
      </c>
      <c r="D679" s="92" t="str">
        <f aca="false">SRC_Demand!$O46</f>
        <v>Active</v>
      </c>
      <c r="E679" s="92" t="n">
        <f aca="false">SRC_Demand!$K46</f>
        <v>2</v>
      </c>
      <c r="F679" s="92" t="str">
        <f aca="false">SRC_Demand!$S46</f>
        <v>—</v>
      </c>
    </row>
    <row r="680" customFormat="false" ht="15" hidden="false" customHeight="false" outlineLevel="0" collapsed="false">
      <c r="A680" s="92" t="str">
        <f aca="false">SRC_Demand!$A47&amp;""</f>
        <v>SRC_DEM_043</v>
      </c>
      <c r="B680" s="61" t="s">
        <v>8481</v>
      </c>
      <c r="C680" s="60" t="n">
        <v>47</v>
      </c>
      <c r="D680" s="92" t="str">
        <f aca="false">SRC_Demand!$O47</f>
        <v>Active</v>
      </c>
      <c r="E680" s="92" t="n">
        <f aca="false">SRC_Demand!$K47</f>
        <v>2</v>
      </c>
      <c r="F680" s="92" t="str">
        <f aca="false">SRC_Demand!$S47</f>
        <v>—</v>
      </c>
    </row>
    <row r="681" customFormat="false" ht="15" hidden="false" customHeight="false" outlineLevel="0" collapsed="false">
      <c r="A681" s="92" t="str">
        <f aca="false">SRC_Demand!$A48&amp;""</f>
        <v>SRC_DEM_044</v>
      </c>
      <c r="B681" s="61" t="s">
        <v>8481</v>
      </c>
      <c r="C681" s="60" t="n">
        <v>48</v>
      </c>
      <c r="D681" s="92" t="str">
        <f aca="false">SRC_Demand!$O48</f>
        <v>Active</v>
      </c>
      <c r="E681" s="92" t="n">
        <f aca="false">SRC_Demand!$K48</f>
        <v>1</v>
      </c>
      <c r="F681" s="92" t="str">
        <f aca="false">SRC_Demand!$S48</f>
        <v>—</v>
      </c>
    </row>
    <row r="682" customFormat="false" ht="15" hidden="false" customHeight="false" outlineLevel="0" collapsed="false">
      <c r="A682" s="92" t="str">
        <f aca="false">SRC_Demand!$A49&amp;""</f>
        <v>SRC_DEM_045</v>
      </c>
      <c r="B682" s="61" t="s">
        <v>8481</v>
      </c>
      <c r="C682" s="60" t="n">
        <v>49</v>
      </c>
      <c r="D682" s="92" t="str">
        <f aca="false">SRC_Demand!$O49</f>
        <v>Active</v>
      </c>
      <c r="E682" s="92" t="n">
        <f aca="false">SRC_Demand!$K49</f>
        <v>1</v>
      </c>
      <c r="F682" s="92" t="str">
        <f aca="false">SRC_Demand!$S49</f>
        <v>—</v>
      </c>
    </row>
    <row r="683" customFormat="false" ht="15" hidden="false" customHeight="false" outlineLevel="0" collapsed="false">
      <c r="A683" s="92" t="str">
        <f aca="false">SRC_Demand!$A50&amp;""</f>
        <v>SRC_DEM_046</v>
      </c>
      <c r="B683" s="61" t="s">
        <v>8481</v>
      </c>
      <c r="C683" s="60" t="n">
        <v>50</v>
      </c>
      <c r="D683" s="92" t="str">
        <f aca="false">SRC_Demand!$O50</f>
        <v>Active</v>
      </c>
      <c r="E683" s="92" t="n">
        <f aca="false">SRC_Demand!$K50</f>
        <v>1</v>
      </c>
      <c r="F683" s="92" t="str">
        <f aca="false">SRC_Demand!$S50</f>
        <v>—</v>
      </c>
    </row>
    <row r="684" customFormat="false" ht="15" hidden="false" customHeight="false" outlineLevel="0" collapsed="false">
      <c r="A684" s="92" t="str">
        <f aca="false">SRC_Demand!$A51&amp;""</f>
        <v>SRC_DEM_047</v>
      </c>
      <c r="B684" s="61" t="s">
        <v>8481</v>
      </c>
      <c r="C684" s="60" t="n">
        <v>51</v>
      </c>
      <c r="D684" s="92" t="str">
        <f aca="false">SRC_Demand!$O51</f>
        <v>Active</v>
      </c>
      <c r="E684" s="92" t="n">
        <f aca="false">SRC_Demand!$K51</f>
        <v>1</v>
      </c>
      <c r="F684" s="92" t="str">
        <f aca="false">SRC_Demand!$S51</f>
        <v>—</v>
      </c>
    </row>
    <row r="685" customFormat="false" ht="15" hidden="false" customHeight="false" outlineLevel="0" collapsed="false">
      <c r="A685" s="92" t="str">
        <f aca="false">SRC_Demand!$A52&amp;""</f>
        <v>SRC_DEM_048</v>
      </c>
      <c r="B685" s="61" t="s">
        <v>8481</v>
      </c>
      <c r="C685" s="60" t="n">
        <v>52</v>
      </c>
      <c r="D685" s="92" t="str">
        <f aca="false">SRC_Demand!$O52</f>
        <v>Active</v>
      </c>
      <c r="E685" s="92" t="n">
        <f aca="false">SRC_Demand!$K52</f>
        <v>2</v>
      </c>
      <c r="F685" s="92" t="str">
        <f aca="false">SRC_Demand!$S52</f>
        <v>—</v>
      </c>
    </row>
    <row r="686" customFormat="false" ht="15" hidden="false" customHeight="false" outlineLevel="0" collapsed="false">
      <c r="A686" s="92" t="str">
        <f aca="false">SRC_Demand!$A53&amp;""</f>
        <v>SRC_DEM_049</v>
      </c>
      <c r="B686" s="61" t="s">
        <v>8481</v>
      </c>
      <c r="C686" s="60" t="n">
        <v>53</v>
      </c>
      <c r="D686" s="92" t="str">
        <f aca="false">SRC_Demand!$O53</f>
        <v>Active</v>
      </c>
      <c r="E686" s="92" t="n">
        <f aca="false">SRC_Demand!$K53</f>
        <v>1</v>
      </c>
      <c r="F686" s="92" t="str">
        <f aca="false">SRC_Demand!$S53</f>
        <v>—</v>
      </c>
    </row>
    <row r="687" customFormat="false" ht="15" hidden="false" customHeight="false" outlineLevel="0" collapsed="false">
      <c r="A687" s="92" t="str">
        <f aca="false">SRC_Demand!$A54&amp;""</f>
        <v>SRC_DEM_050</v>
      </c>
      <c r="B687" s="61" t="s">
        <v>8481</v>
      </c>
      <c r="C687" s="60" t="n">
        <v>54</v>
      </c>
      <c r="D687" s="92" t="str">
        <f aca="false">SRC_Demand!$O54</f>
        <v>Active</v>
      </c>
      <c r="E687" s="92" t="n">
        <f aca="false">SRC_Demand!$K54</f>
        <v>1</v>
      </c>
      <c r="F687" s="92" t="str">
        <f aca="false">SRC_Demand!$S54</f>
        <v>—</v>
      </c>
    </row>
    <row r="688" customFormat="false" ht="15" hidden="false" customHeight="false" outlineLevel="0" collapsed="false">
      <c r="A688" s="92" t="str">
        <f aca="false">SRC_Demand!$A55&amp;""</f>
        <v>SRC_DEM_051</v>
      </c>
      <c r="B688" s="61" t="s">
        <v>8481</v>
      </c>
      <c r="C688" s="60" t="n">
        <v>55</v>
      </c>
      <c r="D688" s="92" t="str">
        <f aca="false">SRC_Demand!$O55</f>
        <v>Active</v>
      </c>
      <c r="E688" s="92" t="n">
        <f aca="false">SRC_Demand!$K55</f>
        <v>1</v>
      </c>
      <c r="F688" s="92" t="str">
        <f aca="false">SRC_Demand!$S55</f>
        <v>—</v>
      </c>
    </row>
    <row r="689" customFormat="false" ht="15" hidden="false" customHeight="false" outlineLevel="0" collapsed="false">
      <c r="A689" s="92" t="str">
        <f aca="false">SRC_Demand!$A56&amp;""</f>
        <v>SRC_DEM_052</v>
      </c>
      <c r="B689" s="61" t="s">
        <v>8481</v>
      </c>
      <c r="C689" s="60" t="n">
        <v>56</v>
      </c>
      <c r="D689" s="92" t="str">
        <f aca="false">SRC_Demand!$O56</f>
        <v>Active</v>
      </c>
      <c r="E689" s="92" t="n">
        <f aca="false">SRC_Demand!$K56</f>
        <v>1</v>
      </c>
      <c r="F689" s="92" t="str">
        <f aca="false">SRC_Demand!$S56</f>
        <v>—</v>
      </c>
    </row>
    <row r="690" customFormat="false" ht="15" hidden="false" customHeight="false" outlineLevel="0" collapsed="false">
      <c r="A690" s="92" t="str">
        <f aca="false">SRC_Demand!$A57&amp;""</f>
        <v>SRC_DEM_053</v>
      </c>
      <c r="B690" s="61" t="s">
        <v>8481</v>
      </c>
      <c r="C690" s="60" t="n">
        <v>57</v>
      </c>
      <c r="D690" s="92" t="str">
        <f aca="false">SRC_Demand!$O57</f>
        <v>Active</v>
      </c>
      <c r="E690" s="92" t="n">
        <f aca="false">SRC_Demand!$K57</f>
        <v>1</v>
      </c>
      <c r="F690" s="92" t="str">
        <f aca="false">SRC_Demand!$S57</f>
        <v>—</v>
      </c>
    </row>
    <row r="691" customFormat="false" ht="15" hidden="false" customHeight="false" outlineLevel="0" collapsed="false">
      <c r="A691" s="92" t="str">
        <f aca="false">SRC_Demand!$A58&amp;""</f>
        <v>SRC_DEM_054</v>
      </c>
      <c r="B691" s="61" t="s">
        <v>8481</v>
      </c>
      <c r="C691" s="60" t="n">
        <v>58</v>
      </c>
      <c r="D691" s="92" t="str">
        <f aca="false">SRC_Demand!$O58</f>
        <v>Active</v>
      </c>
      <c r="E691" s="92" t="n">
        <f aca="false">SRC_Demand!$K58</f>
        <v>2</v>
      </c>
      <c r="F691" s="92" t="str">
        <f aca="false">SRC_Demand!$S58</f>
        <v>—</v>
      </c>
    </row>
    <row r="692" customFormat="false" ht="15" hidden="false" customHeight="false" outlineLevel="0" collapsed="false">
      <c r="A692" s="92" t="str">
        <f aca="false">SRC_Demand!$A59&amp;""</f>
        <v>SRC_DEM_055</v>
      </c>
      <c r="B692" s="61" t="s">
        <v>8481</v>
      </c>
      <c r="C692" s="60" t="n">
        <v>59</v>
      </c>
      <c r="D692" s="92" t="str">
        <f aca="false">SRC_Demand!$O59</f>
        <v>Active</v>
      </c>
      <c r="E692" s="92" t="n">
        <f aca="false">SRC_Demand!$K59</f>
        <v>1</v>
      </c>
      <c r="F692" s="92" t="str">
        <f aca="false">SRC_Demand!$S59</f>
        <v>—</v>
      </c>
    </row>
    <row r="693" customFormat="false" ht="15" hidden="false" customHeight="false" outlineLevel="0" collapsed="false">
      <c r="A693" s="92" t="str">
        <f aca="false">SRC_Demand!$A60&amp;""</f>
        <v>SRC_DEM_056</v>
      </c>
      <c r="B693" s="61" t="s">
        <v>8481</v>
      </c>
      <c r="C693" s="60" t="n">
        <v>60</v>
      </c>
      <c r="D693" s="92" t="str">
        <f aca="false">SRC_Demand!$O60</f>
        <v>Active</v>
      </c>
      <c r="E693" s="92" t="n">
        <f aca="false">SRC_Demand!$K60</f>
        <v>2</v>
      </c>
      <c r="F693" s="92" t="str">
        <f aca="false">SRC_Demand!$S60</f>
        <v>—</v>
      </c>
    </row>
    <row r="694" customFormat="false" ht="15" hidden="false" customHeight="false" outlineLevel="0" collapsed="false">
      <c r="A694" s="92" t="str">
        <f aca="false">SRC_Demand!$A61&amp;""</f>
        <v>SRC_DEM_057</v>
      </c>
      <c r="B694" s="61" t="s">
        <v>8481</v>
      </c>
      <c r="C694" s="60" t="n">
        <v>61</v>
      </c>
      <c r="D694" s="92" t="str">
        <f aca="false">SRC_Demand!$O61</f>
        <v>Active</v>
      </c>
      <c r="E694" s="92" t="n">
        <f aca="false">SRC_Demand!$K61</f>
        <v>2</v>
      </c>
      <c r="F694" s="92" t="str">
        <f aca="false">SRC_Demand!$S61</f>
        <v>—</v>
      </c>
    </row>
    <row r="695" customFormat="false" ht="15" hidden="false" customHeight="false" outlineLevel="0" collapsed="false">
      <c r="A695" s="92" t="str">
        <f aca="false">SRC_Demand!$A62&amp;""</f>
        <v>SRC_DEM_058</v>
      </c>
      <c r="B695" s="61" t="s">
        <v>8481</v>
      </c>
      <c r="C695" s="60" t="n">
        <v>62</v>
      </c>
      <c r="D695" s="92" t="str">
        <f aca="false">SRC_Demand!$O62</f>
        <v>Active</v>
      </c>
      <c r="E695" s="92" t="n">
        <f aca="false">SRC_Demand!$K62</f>
        <v>2</v>
      </c>
      <c r="F695" s="92" t="str">
        <f aca="false">SRC_Demand!$S62</f>
        <v>—</v>
      </c>
    </row>
    <row r="696" customFormat="false" ht="15" hidden="false" customHeight="false" outlineLevel="0" collapsed="false">
      <c r="A696" s="92" t="str">
        <f aca="false">SRC_Demand!$A63&amp;""</f>
        <v>SRC_DEM_059</v>
      </c>
      <c r="B696" s="61" t="s">
        <v>8481</v>
      </c>
      <c r="C696" s="60" t="n">
        <v>63</v>
      </c>
      <c r="D696" s="92" t="str">
        <f aca="false">SRC_Demand!$O63</f>
        <v>Active</v>
      </c>
      <c r="E696" s="92" t="n">
        <f aca="false">SRC_Demand!$K63</f>
        <v>1</v>
      </c>
      <c r="F696" s="92" t="str">
        <f aca="false">SRC_Demand!$S63</f>
        <v>—</v>
      </c>
    </row>
    <row r="697" customFormat="false" ht="15" hidden="false" customHeight="false" outlineLevel="0" collapsed="false">
      <c r="A697" s="92" t="str">
        <f aca="false">SRC_Demand!$A64&amp;""</f>
        <v>SRC_DEM_060</v>
      </c>
      <c r="B697" s="61" t="s">
        <v>8481</v>
      </c>
      <c r="C697" s="60" t="n">
        <v>64</v>
      </c>
      <c r="D697" s="92" t="str">
        <f aca="false">SRC_Demand!$O64</f>
        <v>Active</v>
      </c>
      <c r="E697" s="92" t="n">
        <f aca="false">SRC_Demand!$K64</f>
        <v>2</v>
      </c>
      <c r="F697" s="92" t="str">
        <f aca="false">SRC_Demand!$S64</f>
        <v>—</v>
      </c>
    </row>
    <row r="698" customFormat="false" ht="15" hidden="false" customHeight="false" outlineLevel="0" collapsed="false">
      <c r="A698" s="92" t="str">
        <f aca="false">SRC_Demand!$A65&amp;""</f>
        <v>SRC_DEM_061</v>
      </c>
      <c r="B698" s="61" t="s">
        <v>8481</v>
      </c>
      <c r="C698" s="60" t="n">
        <v>65</v>
      </c>
      <c r="D698" s="92" t="str">
        <f aca="false">SRC_Demand!$O65</f>
        <v>Active</v>
      </c>
      <c r="E698" s="92" t="n">
        <f aca="false">SRC_Demand!$K65</f>
        <v>1</v>
      </c>
      <c r="F698" s="92" t="str">
        <f aca="false">SRC_Demand!$S65</f>
        <v>—</v>
      </c>
    </row>
    <row r="699" customFormat="false" ht="15" hidden="false" customHeight="false" outlineLevel="0" collapsed="false">
      <c r="A699" s="92" t="str">
        <f aca="false">SRC_Demand!$A66&amp;""</f>
        <v>SRC_DEM_062</v>
      </c>
      <c r="B699" s="61" t="s">
        <v>8481</v>
      </c>
      <c r="C699" s="60" t="n">
        <v>66</v>
      </c>
      <c r="D699" s="92" t="str">
        <f aca="false">SRC_Demand!$O66</f>
        <v>Active</v>
      </c>
      <c r="E699" s="92" t="n">
        <f aca="false">SRC_Demand!$K66</f>
        <v>2</v>
      </c>
      <c r="F699" s="92" t="str">
        <f aca="false">SRC_Demand!$S66</f>
        <v>—</v>
      </c>
    </row>
    <row r="700" customFormat="false" ht="15" hidden="false" customHeight="false" outlineLevel="0" collapsed="false">
      <c r="A700" s="92" t="str">
        <f aca="false">SRC_Demand!$A67&amp;""</f>
        <v>SRC_DEM_063</v>
      </c>
      <c r="B700" s="61" t="s">
        <v>8481</v>
      </c>
      <c r="C700" s="60" t="n">
        <v>67</v>
      </c>
      <c r="D700" s="92" t="str">
        <f aca="false">SRC_Demand!$O67</f>
        <v>Active</v>
      </c>
      <c r="E700" s="92" t="n">
        <f aca="false">SRC_Demand!$K67</f>
        <v>2</v>
      </c>
      <c r="F700" s="92" t="str">
        <f aca="false">SRC_Demand!$S67</f>
        <v>—</v>
      </c>
    </row>
    <row r="701" customFormat="false" ht="15" hidden="false" customHeight="false" outlineLevel="0" collapsed="false">
      <c r="A701" s="92" t="str">
        <f aca="false">SRC_Demand!$A68&amp;""</f>
        <v>SRC_DEM_064</v>
      </c>
      <c r="B701" s="61" t="s">
        <v>8481</v>
      </c>
      <c r="C701" s="60" t="n">
        <v>68</v>
      </c>
      <c r="D701" s="92" t="str">
        <f aca="false">SRC_Demand!$O68</f>
        <v>Active</v>
      </c>
      <c r="E701" s="92" t="n">
        <f aca="false">SRC_Demand!$K68</f>
        <v>2</v>
      </c>
      <c r="F701" s="92" t="str">
        <f aca="false">SRC_Demand!$S68</f>
        <v>—</v>
      </c>
    </row>
    <row r="702" customFormat="false" ht="15" hidden="false" customHeight="false" outlineLevel="0" collapsed="false">
      <c r="A702" s="92" t="str">
        <f aca="false">SRC_Demand!$A69&amp;""</f>
        <v>SRC_DEM_065</v>
      </c>
      <c r="B702" s="61" t="s">
        <v>8481</v>
      </c>
      <c r="C702" s="60" t="n">
        <v>69</v>
      </c>
      <c r="D702" s="92" t="str">
        <f aca="false">SRC_Demand!$O69</f>
        <v>Active</v>
      </c>
      <c r="E702" s="92" t="n">
        <f aca="false">SRC_Demand!$K69</f>
        <v>2</v>
      </c>
      <c r="F702" s="92" t="str">
        <f aca="false">SRC_Demand!$S69</f>
        <v>—</v>
      </c>
    </row>
    <row r="703" customFormat="false" ht="15" hidden="false" customHeight="false" outlineLevel="0" collapsed="false">
      <c r="A703" s="92" t="str">
        <f aca="false">SRC_Demand!$A70&amp;""</f>
        <v>SRC_DEM_066</v>
      </c>
      <c r="B703" s="61" t="s">
        <v>8481</v>
      </c>
      <c r="C703" s="60" t="n">
        <v>70</v>
      </c>
      <c r="D703" s="92" t="str">
        <f aca="false">SRC_Demand!$O70</f>
        <v>Active</v>
      </c>
      <c r="E703" s="92" t="n">
        <f aca="false">SRC_Demand!$K70</f>
        <v>1</v>
      </c>
      <c r="F703" s="92" t="str">
        <f aca="false">SRC_Demand!$S70</f>
        <v>—</v>
      </c>
    </row>
    <row r="704" customFormat="false" ht="15" hidden="false" customHeight="false" outlineLevel="0" collapsed="false">
      <c r="A704" s="92" t="str">
        <f aca="false">SRC_Demand!$A71&amp;""</f>
        <v>SRC_DEM_067</v>
      </c>
      <c r="B704" s="61" t="s">
        <v>8481</v>
      </c>
      <c r="C704" s="60" t="n">
        <v>71</v>
      </c>
      <c r="D704" s="92" t="str">
        <f aca="false">SRC_Demand!$O71</f>
        <v>Active</v>
      </c>
      <c r="E704" s="92" t="n">
        <f aca="false">SRC_Demand!$K71</f>
        <v>2</v>
      </c>
      <c r="F704" s="92" t="str">
        <f aca="false">SRC_Demand!$S71</f>
        <v>—</v>
      </c>
    </row>
    <row r="705" customFormat="false" ht="15" hidden="false" customHeight="false" outlineLevel="0" collapsed="false">
      <c r="A705" s="92" t="str">
        <f aca="false">SRC_Demand!$A72&amp;""</f>
        <v>SRC_DEM_068</v>
      </c>
      <c r="B705" s="61" t="s">
        <v>8481</v>
      </c>
      <c r="C705" s="60" t="n">
        <v>72</v>
      </c>
      <c r="D705" s="92" t="str">
        <f aca="false">SRC_Demand!$O72</f>
        <v>Active</v>
      </c>
      <c r="E705" s="92" t="n">
        <f aca="false">SRC_Demand!$K72</f>
        <v>1</v>
      </c>
      <c r="F705" s="92" t="str">
        <f aca="false">SRC_Demand!$S72</f>
        <v>—</v>
      </c>
    </row>
    <row r="706" customFormat="false" ht="15" hidden="false" customHeight="false" outlineLevel="0" collapsed="false">
      <c r="A706" s="92" t="str">
        <f aca="false">SRC_Demand!$A73&amp;""</f>
        <v>SRC_DEM_069</v>
      </c>
      <c r="B706" s="61" t="s">
        <v>8481</v>
      </c>
      <c r="C706" s="60" t="n">
        <v>73</v>
      </c>
      <c r="D706" s="92" t="str">
        <f aca="false">SRC_Demand!$O73</f>
        <v>Active</v>
      </c>
      <c r="E706" s="92" t="n">
        <f aca="false">SRC_Demand!$K73</f>
        <v>2</v>
      </c>
      <c r="F706" s="92" t="str">
        <f aca="false">SRC_Demand!$S73</f>
        <v>—</v>
      </c>
    </row>
    <row r="707" customFormat="false" ht="15" hidden="false" customHeight="false" outlineLevel="0" collapsed="false">
      <c r="A707" s="92" t="str">
        <f aca="false">SRC_Demand!$A74&amp;""</f>
        <v>SRC_DEM_070</v>
      </c>
      <c r="B707" s="61" t="s">
        <v>8481</v>
      </c>
      <c r="C707" s="60" t="n">
        <v>74</v>
      </c>
      <c r="D707" s="92" t="str">
        <f aca="false">SRC_Demand!$O74</f>
        <v>Alt</v>
      </c>
      <c r="E707" s="92" t="n">
        <f aca="false">SRC_Demand!$K74</f>
        <v>3</v>
      </c>
      <c r="F707" s="92" t="str">
        <f aca="false">SRC_Demand!$S74</f>
        <v>—</v>
      </c>
    </row>
    <row r="708" customFormat="false" ht="15" hidden="false" customHeight="false" outlineLevel="0" collapsed="false">
      <c r="A708" s="92" t="str">
        <f aca="false">SRC_Demand!$A75&amp;""</f>
        <v>SRC_DEM_071</v>
      </c>
      <c r="B708" s="61" t="s">
        <v>8481</v>
      </c>
      <c r="C708" s="60" t="n">
        <v>75</v>
      </c>
      <c r="D708" s="92" t="str">
        <f aca="false">SRC_Demand!$O75</f>
        <v>Active</v>
      </c>
      <c r="E708" s="92" t="n">
        <f aca="false">SRC_Demand!$K75</f>
        <v>3</v>
      </c>
      <c r="F708" s="92" t="str">
        <f aca="false">SRC_Demand!$S75</f>
        <v>—</v>
      </c>
    </row>
    <row r="709" customFormat="false" ht="15" hidden="false" customHeight="false" outlineLevel="0" collapsed="false">
      <c r="A709" s="92" t="str">
        <f aca="false">SRC_Demand!$A76&amp;""</f>
        <v>SRC_DEM_072</v>
      </c>
      <c r="B709" s="61" t="s">
        <v>8481</v>
      </c>
      <c r="C709" s="60" t="n">
        <v>76</v>
      </c>
      <c r="D709" s="92" t="str">
        <f aca="false">SRC_Demand!$O76</f>
        <v>Active</v>
      </c>
      <c r="E709" s="92" t="n">
        <f aca="false">SRC_Demand!$K76</f>
        <v>2</v>
      </c>
      <c r="F709" s="92" t="str">
        <f aca="false">SRC_Demand!$S76</f>
        <v>—</v>
      </c>
    </row>
    <row r="710" customFormat="false" ht="15" hidden="false" customHeight="false" outlineLevel="0" collapsed="false">
      <c r="A710" s="92" t="str">
        <f aca="false">SRC_Demand!$A77&amp;""</f>
        <v>SRC_DEM_073</v>
      </c>
      <c r="B710" s="61" t="s">
        <v>8481</v>
      </c>
      <c r="C710" s="60" t="n">
        <v>77</v>
      </c>
      <c r="D710" s="92" t="str">
        <f aca="false">SRC_Demand!$O77</f>
        <v>Active</v>
      </c>
      <c r="E710" s="92" t="n">
        <f aca="false">SRC_Demand!$K77</f>
        <v>2</v>
      </c>
      <c r="F710" s="92" t="str">
        <f aca="false">SRC_Demand!$S77</f>
        <v>—</v>
      </c>
    </row>
    <row r="711" customFormat="false" ht="15" hidden="false" customHeight="false" outlineLevel="0" collapsed="false">
      <c r="A711" s="92" t="str">
        <f aca="false">SRC_Demand!$A78&amp;""</f>
        <v/>
      </c>
      <c r="B711" s="61" t="s">
        <v>8481</v>
      </c>
      <c r="C711" s="60" t="n">
        <v>78</v>
      </c>
      <c r="D711" s="92" t="n">
        <f aca="false">SRC_Demand!$O78</f>
        <v>0</v>
      </c>
      <c r="E711" s="92" t="n">
        <f aca="false">SRC_Demand!$K78</f>
        <v>0</v>
      </c>
      <c r="F711" s="92" t="n">
        <f aca="false">SRC_Demand!$S78</f>
        <v>0</v>
      </c>
    </row>
    <row r="712" customFormat="false" ht="15" hidden="false" customHeight="false" outlineLevel="0" collapsed="false">
      <c r="A712" s="92" t="str">
        <f aca="false">SRC_Demand!$A79&amp;""</f>
        <v/>
      </c>
      <c r="B712" s="61" t="s">
        <v>8481</v>
      </c>
      <c r="C712" s="60" t="n">
        <v>79</v>
      </c>
      <c r="D712" s="92" t="n">
        <f aca="false">SRC_Demand!$O79</f>
        <v>0</v>
      </c>
      <c r="E712" s="92" t="n">
        <f aca="false">SRC_Demand!$K79</f>
        <v>0</v>
      </c>
      <c r="F712" s="92" t="n">
        <f aca="false">SRC_Demand!$S79</f>
        <v>0</v>
      </c>
    </row>
    <row r="713" customFormat="false" ht="15" hidden="false" customHeight="false" outlineLevel="0" collapsed="false">
      <c r="A713" s="92" t="str">
        <f aca="false">SRC_Demand!$A80&amp;""</f>
        <v/>
      </c>
      <c r="B713" s="61" t="s">
        <v>8481</v>
      </c>
      <c r="C713" s="60" t="n">
        <v>80</v>
      </c>
      <c r="D713" s="92" t="n">
        <f aca="false">SRC_Demand!$O80</f>
        <v>0</v>
      </c>
      <c r="E713" s="92" t="n">
        <f aca="false">SRC_Demand!$K80</f>
        <v>0</v>
      </c>
      <c r="F713" s="92" t="n">
        <f aca="false">SRC_Demand!$S80</f>
        <v>0</v>
      </c>
    </row>
    <row r="714" customFormat="false" ht="15" hidden="false" customHeight="false" outlineLevel="0" collapsed="false">
      <c r="A714" s="92" t="str">
        <f aca="false">SRC_Demand!$A81&amp;""</f>
        <v/>
      </c>
      <c r="B714" s="61" t="s">
        <v>8481</v>
      </c>
      <c r="C714" s="60" t="n">
        <v>81</v>
      </c>
      <c r="D714" s="92" t="n">
        <f aca="false">SRC_Demand!$O81</f>
        <v>0</v>
      </c>
      <c r="E714" s="92" t="n">
        <f aca="false">SRC_Demand!$K81</f>
        <v>0</v>
      </c>
      <c r="F714" s="92" t="n">
        <f aca="false">SRC_Demand!$S81</f>
        <v>0</v>
      </c>
    </row>
    <row r="715" customFormat="false" ht="15" hidden="false" customHeight="false" outlineLevel="0" collapsed="false">
      <c r="A715" s="92" t="str">
        <f aca="false">SRC_Demand!$A82&amp;""</f>
        <v/>
      </c>
      <c r="B715" s="61" t="s">
        <v>8481</v>
      </c>
      <c r="C715" s="60" t="n">
        <v>82</v>
      </c>
      <c r="D715" s="92" t="n">
        <f aca="false">SRC_Demand!$O82</f>
        <v>0</v>
      </c>
      <c r="E715" s="92" t="n">
        <f aca="false">SRC_Demand!$K82</f>
        <v>0</v>
      </c>
      <c r="F715" s="92" t="n">
        <f aca="false">SRC_Demand!$S82</f>
        <v>0</v>
      </c>
    </row>
    <row r="716" customFormat="false" ht="15" hidden="false" customHeight="false" outlineLevel="0" collapsed="false">
      <c r="A716" s="92" t="str">
        <f aca="false">SRC_Demand!$A83&amp;""</f>
        <v/>
      </c>
      <c r="B716" s="61" t="s">
        <v>8481</v>
      </c>
      <c r="C716" s="60" t="n">
        <v>83</v>
      </c>
      <c r="D716" s="92" t="n">
        <f aca="false">SRC_Demand!$O83</f>
        <v>0</v>
      </c>
      <c r="E716" s="92" t="n">
        <f aca="false">SRC_Demand!$K83</f>
        <v>0</v>
      </c>
      <c r="F716" s="92" t="n">
        <f aca="false">SRC_Demand!$S83</f>
        <v>0</v>
      </c>
    </row>
    <row r="717" customFormat="false" ht="15" hidden="false" customHeight="false" outlineLevel="0" collapsed="false">
      <c r="A717" s="92" t="str">
        <f aca="false">SRC_Demand!$A84&amp;""</f>
        <v/>
      </c>
      <c r="B717" s="61" t="s">
        <v>8481</v>
      </c>
      <c r="C717" s="60" t="n">
        <v>84</v>
      </c>
      <c r="D717" s="92" t="n">
        <f aca="false">SRC_Demand!$O84</f>
        <v>0</v>
      </c>
      <c r="E717" s="92" t="n">
        <f aca="false">SRC_Demand!$K84</f>
        <v>0</v>
      </c>
      <c r="F717" s="92" t="n">
        <f aca="false">SRC_Demand!$S84</f>
        <v>0</v>
      </c>
    </row>
    <row r="718" customFormat="false" ht="15" hidden="false" customHeight="false" outlineLevel="0" collapsed="false">
      <c r="A718" s="92" t="str">
        <f aca="false">SRC_Demand!$A85&amp;""</f>
        <v/>
      </c>
      <c r="B718" s="61" t="s">
        <v>8481</v>
      </c>
      <c r="C718" s="60" t="n">
        <v>85</v>
      </c>
      <c r="D718" s="92" t="n">
        <f aca="false">SRC_Demand!$O85</f>
        <v>0</v>
      </c>
      <c r="E718" s="92" t="n">
        <f aca="false">SRC_Demand!$K85</f>
        <v>0</v>
      </c>
      <c r="F718" s="92" t="n">
        <f aca="false">SRC_Demand!$S85</f>
        <v>0</v>
      </c>
    </row>
    <row r="719" customFormat="false" ht="15" hidden="false" customHeight="false" outlineLevel="0" collapsed="false">
      <c r="A719" s="92" t="str">
        <f aca="false">SRC_Demand!$A86&amp;""</f>
        <v/>
      </c>
      <c r="B719" s="61" t="s">
        <v>8481</v>
      </c>
      <c r="C719" s="60" t="n">
        <v>86</v>
      </c>
      <c r="D719" s="92" t="n">
        <f aca="false">SRC_Demand!$O86</f>
        <v>0</v>
      </c>
      <c r="E719" s="92" t="n">
        <f aca="false">SRC_Demand!$K86</f>
        <v>0</v>
      </c>
      <c r="F719" s="92" t="n">
        <f aca="false">SRC_Demand!$S86</f>
        <v>0</v>
      </c>
    </row>
    <row r="720" customFormat="false" ht="15" hidden="false" customHeight="false" outlineLevel="0" collapsed="false">
      <c r="A720" s="92" t="str">
        <f aca="false">SRC_Demand!$A87&amp;""</f>
        <v/>
      </c>
      <c r="B720" s="61" t="s">
        <v>8481</v>
      </c>
      <c r="C720" s="60" t="n">
        <v>87</v>
      </c>
      <c r="D720" s="92" t="n">
        <f aca="false">SRC_Demand!$O87</f>
        <v>0</v>
      </c>
      <c r="E720" s="92" t="n">
        <f aca="false">SRC_Demand!$K87</f>
        <v>0</v>
      </c>
      <c r="F720" s="92" t="n">
        <f aca="false">SRC_Demand!$S87</f>
        <v>0</v>
      </c>
    </row>
    <row r="721" customFormat="false" ht="15" hidden="false" customHeight="false" outlineLevel="0" collapsed="false">
      <c r="A721" s="92" t="str">
        <f aca="false">SRC_Demand!$A88&amp;""</f>
        <v/>
      </c>
      <c r="B721" s="61" t="s">
        <v>8481</v>
      </c>
      <c r="C721" s="60" t="n">
        <v>88</v>
      </c>
      <c r="D721" s="92" t="n">
        <f aca="false">SRC_Demand!$O88</f>
        <v>0</v>
      </c>
      <c r="E721" s="92" t="n">
        <f aca="false">SRC_Demand!$K88</f>
        <v>0</v>
      </c>
      <c r="F721" s="92" t="n">
        <f aca="false">SRC_Demand!$S88</f>
        <v>0</v>
      </c>
    </row>
    <row r="722" customFormat="false" ht="15" hidden="false" customHeight="false" outlineLevel="0" collapsed="false">
      <c r="A722" s="92" t="str">
        <f aca="false">SRC_Demand!$A89&amp;""</f>
        <v/>
      </c>
      <c r="B722" s="61" t="s">
        <v>8481</v>
      </c>
      <c r="C722" s="60" t="n">
        <v>89</v>
      </c>
      <c r="D722" s="92" t="n">
        <f aca="false">SRC_Demand!$O89</f>
        <v>0</v>
      </c>
      <c r="E722" s="92" t="n">
        <f aca="false">SRC_Demand!$K89</f>
        <v>0</v>
      </c>
      <c r="F722" s="92" t="n">
        <f aca="false">SRC_Demand!$S89</f>
        <v>0</v>
      </c>
    </row>
    <row r="723" customFormat="false" ht="15" hidden="false" customHeight="false" outlineLevel="0" collapsed="false">
      <c r="A723" s="92" t="str">
        <f aca="false">SRC_Demand!$A90&amp;""</f>
        <v/>
      </c>
      <c r="B723" s="61" t="s">
        <v>8481</v>
      </c>
      <c r="C723" s="60" t="n">
        <v>90</v>
      </c>
      <c r="D723" s="92" t="n">
        <f aca="false">SRC_Demand!$O90</f>
        <v>0</v>
      </c>
      <c r="E723" s="92" t="n">
        <f aca="false">SRC_Demand!$K90</f>
        <v>0</v>
      </c>
      <c r="F723" s="92" t="n">
        <f aca="false">SRC_Demand!$S90</f>
        <v>0</v>
      </c>
    </row>
    <row r="724" customFormat="false" ht="15" hidden="false" customHeight="false" outlineLevel="0" collapsed="false">
      <c r="A724" s="92" t="str">
        <f aca="false">SRC_Demand!$A91&amp;""</f>
        <v/>
      </c>
      <c r="B724" s="61" t="s">
        <v>8481</v>
      </c>
      <c r="C724" s="60" t="n">
        <v>91</v>
      </c>
      <c r="D724" s="92" t="n">
        <f aca="false">SRC_Demand!$O91</f>
        <v>0</v>
      </c>
      <c r="E724" s="92" t="n">
        <f aca="false">SRC_Demand!$K91</f>
        <v>0</v>
      </c>
      <c r="F724" s="92" t="n">
        <f aca="false">SRC_Demand!$S91</f>
        <v>0</v>
      </c>
    </row>
    <row r="725" customFormat="false" ht="15" hidden="false" customHeight="false" outlineLevel="0" collapsed="false">
      <c r="A725" s="92" t="str">
        <f aca="false">SRC_Demand!$A92&amp;""</f>
        <v/>
      </c>
      <c r="B725" s="61" t="s">
        <v>8481</v>
      </c>
      <c r="C725" s="60" t="n">
        <v>92</v>
      </c>
      <c r="D725" s="92" t="n">
        <f aca="false">SRC_Demand!$O92</f>
        <v>0</v>
      </c>
      <c r="E725" s="92" t="n">
        <f aca="false">SRC_Demand!$K92</f>
        <v>0</v>
      </c>
      <c r="F725" s="92" t="n">
        <f aca="false">SRC_Demand!$S92</f>
        <v>0</v>
      </c>
    </row>
    <row r="726" customFormat="false" ht="15" hidden="false" customHeight="false" outlineLevel="0" collapsed="false">
      <c r="A726" s="92" t="str">
        <f aca="false">SRC_Demand!$A93&amp;""</f>
        <v/>
      </c>
      <c r="B726" s="61" t="s">
        <v>8481</v>
      </c>
      <c r="C726" s="60" t="n">
        <v>93</v>
      </c>
      <c r="D726" s="92" t="n">
        <f aca="false">SRC_Demand!$O93</f>
        <v>0</v>
      </c>
      <c r="E726" s="92" t="n">
        <f aca="false">SRC_Demand!$K93</f>
        <v>0</v>
      </c>
      <c r="F726" s="92" t="n">
        <f aca="false">SRC_Demand!$S93</f>
        <v>0</v>
      </c>
    </row>
    <row r="727" customFormat="false" ht="15" hidden="false" customHeight="false" outlineLevel="0" collapsed="false">
      <c r="A727" s="92" t="str">
        <f aca="false">SRC_Demand!$A94&amp;""</f>
        <v/>
      </c>
      <c r="B727" s="61" t="s">
        <v>8481</v>
      </c>
      <c r="C727" s="60" t="n">
        <v>94</v>
      </c>
      <c r="D727" s="92" t="n">
        <f aca="false">SRC_Demand!$O94</f>
        <v>0</v>
      </c>
      <c r="E727" s="92" t="n">
        <f aca="false">SRC_Demand!$K94</f>
        <v>0</v>
      </c>
      <c r="F727" s="92" t="n">
        <f aca="false">SRC_Demand!$S94</f>
        <v>0</v>
      </c>
    </row>
    <row r="728" customFormat="false" ht="15" hidden="false" customHeight="false" outlineLevel="0" collapsed="false">
      <c r="A728" s="92" t="str">
        <f aca="false">SRC_Demand!$A95&amp;""</f>
        <v/>
      </c>
      <c r="B728" s="61" t="s">
        <v>8481</v>
      </c>
      <c r="C728" s="60" t="n">
        <v>95</v>
      </c>
      <c r="D728" s="92" t="n">
        <f aca="false">SRC_Demand!$O95</f>
        <v>0</v>
      </c>
      <c r="E728" s="92" t="n">
        <f aca="false">SRC_Demand!$K95</f>
        <v>0</v>
      </c>
      <c r="F728" s="92" t="n">
        <f aca="false">SRC_Demand!$S95</f>
        <v>0</v>
      </c>
    </row>
    <row r="729" customFormat="false" ht="15" hidden="false" customHeight="false" outlineLevel="0" collapsed="false">
      <c r="A729" s="92" t="str">
        <f aca="false">SRC_Demand!$A96&amp;""</f>
        <v/>
      </c>
      <c r="B729" s="61" t="s">
        <v>8481</v>
      </c>
      <c r="C729" s="60" t="n">
        <v>96</v>
      </c>
      <c r="D729" s="92" t="n">
        <f aca="false">SRC_Demand!$O96</f>
        <v>0</v>
      </c>
      <c r="E729" s="92" t="n">
        <f aca="false">SRC_Demand!$K96</f>
        <v>0</v>
      </c>
      <c r="F729" s="92" t="n">
        <f aca="false">SRC_Demand!$S96</f>
        <v>0</v>
      </c>
    </row>
    <row r="730" customFormat="false" ht="15" hidden="false" customHeight="false" outlineLevel="0" collapsed="false">
      <c r="A730" s="92" t="str">
        <f aca="false">SRC_Demand!$A97&amp;""</f>
        <v/>
      </c>
      <c r="B730" s="61" t="s">
        <v>8481</v>
      </c>
      <c r="C730" s="60" t="n">
        <v>97</v>
      </c>
      <c r="D730" s="92" t="n">
        <f aca="false">SRC_Demand!$O97</f>
        <v>0</v>
      </c>
      <c r="E730" s="92" t="n">
        <f aca="false">SRC_Demand!$K97</f>
        <v>0</v>
      </c>
      <c r="F730" s="92" t="n">
        <f aca="false">SRC_Demand!$S97</f>
        <v>0</v>
      </c>
    </row>
    <row r="731" customFormat="false" ht="15" hidden="false" customHeight="false" outlineLevel="0" collapsed="false">
      <c r="A731" s="92" t="str">
        <f aca="false">SRC_Demand!$A98&amp;""</f>
        <v/>
      </c>
      <c r="B731" s="61" t="s">
        <v>8481</v>
      </c>
      <c r="C731" s="60" t="n">
        <v>98</v>
      </c>
      <c r="D731" s="92" t="n">
        <f aca="false">SRC_Demand!$O98</f>
        <v>0</v>
      </c>
      <c r="E731" s="92" t="n">
        <f aca="false">SRC_Demand!$K98</f>
        <v>0</v>
      </c>
      <c r="F731" s="92" t="n">
        <f aca="false">SRC_Demand!$S98</f>
        <v>0</v>
      </c>
    </row>
    <row r="732" customFormat="false" ht="15" hidden="false" customHeight="false" outlineLevel="0" collapsed="false">
      <c r="A732" s="92" t="str">
        <f aca="false">SRC_Demand!$A99&amp;""</f>
        <v/>
      </c>
      <c r="B732" s="61" t="s">
        <v>8481</v>
      </c>
      <c r="C732" s="60" t="n">
        <v>99</v>
      </c>
      <c r="D732" s="92" t="n">
        <f aca="false">SRC_Demand!$O99</f>
        <v>0</v>
      </c>
      <c r="E732" s="92" t="n">
        <f aca="false">SRC_Demand!$K99</f>
        <v>0</v>
      </c>
      <c r="F732" s="92" t="n">
        <f aca="false">SRC_Demand!$S99</f>
        <v>0</v>
      </c>
    </row>
    <row r="733" customFormat="false" ht="15" hidden="false" customHeight="false" outlineLevel="0" collapsed="false">
      <c r="A733" s="92" t="str">
        <f aca="false">SRC_Demand!$A100&amp;""</f>
        <v/>
      </c>
      <c r="B733" s="61" t="s">
        <v>8481</v>
      </c>
      <c r="C733" s="60" t="n">
        <v>100</v>
      </c>
      <c r="D733" s="92" t="n">
        <f aca="false">SRC_Demand!$O100</f>
        <v>0</v>
      </c>
      <c r="E733" s="92" t="n">
        <f aca="false">SRC_Demand!$K100</f>
        <v>0</v>
      </c>
      <c r="F733" s="92" t="n">
        <f aca="false">SRC_Demand!$S100</f>
        <v>0</v>
      </c>
    </row>
    <row r="734" customFormat="false" ht="15" hidden="false" customHeight="false" outlineLevel="0" collapsed="false">
      <c r="A734" s="92" t="str">
        <f aca="false">SRC_Demand!$A101&amp;""</f>
        <v/>
      </c>
      <c r="B734" s="61" t="s">
        <v>8481</v>
      </c>
      <c r="C734" s="60" t="n">
        <v>101</v>
      </c>
      <c r="D734" s="92" t="n">
        <f aca="false">SRC_Demand!$O101</f>
        <v>0</v>
      </c>
      <c r="E734" s="92" t="n">
        <f aca="false">SRC_Demand!$K101</f>
        <v>0</v>
      </c>
      <c r="F734" s="92" t="n">
        <f aca="false">SRC_Demand!$S101</f>
        <v>0</v>
      </c>
    </row>
    <row r="735" customFormat="false" ht="15" hidden="false" customHeight="false" outlineLevel="0" collapsed="false">
      <c r="A735" s="92" t="str">
        <f aca="false">SRC_Demand!$A102&amp;""</f>
        <v/>
      </c>
      <c r="B735" s="61" t="s">
        <v>8481</v>
      </c>
      <c r="C735" s="60" t="n">
        <v>102</v>
      </c>
      <c r="D735" s="92" t="n">
        <f aca="false">SRC_Demand!$O102</f>
        <v>0</v>
      </c>
      <c r="E735" s="92" t="n">
        <f aca="false">SRC_Demand!$K102</f>
        <v>0</v>
      </c>
      <c r="F735" s="92" t="n">
        <f aca="false">SRC_Demand!$S102</f>
        <v>0</v>
      </c>
    </row>
    <row r="736" customFormat="false" ht="15" hidden="false" customHeight="false" outlineLevel="0" collapsed="false">
      <c r="A736" s="92" t="str">
        <f aca="false">SRC_Demand!$A103&amp;""</f>
        <v/>
      </c>
      <c r="B736" s="61" t="s">
        <v>8481</v>
      </c>
      <c r="C736" s="60" t="n">
        <v>103</v>
      </c>
      <c r="D736" s="92" t="n">
        <f aca="false">SRC_Demand!$O103</f>
        <v>0</v>
      </c>
      <c r="E736" s="92" t="n">
        <f aca="false">SRC_Demand!$K103</f>
        <v>0</v>
      </c>
      <c r="F736" s="92" t="n">
        <f aca="false">SRC_Demand!$S103</f>
        <v>0</v>
      </c>
    </row>
    <row r="737" customFormat="false" ht="15" hidden="false" customHeight="false" outlineLevel="0" collapsed="false">
      <c r="A737" s="92" t="str">
        <f aca="false">SRC_Demand!$A104&amp;""</f>
        <v/>
      </c>
      <c r="B737" s="61" t="s">
        <v>8481</v>
      </c>
      <c r="C737" s="60" t="n">
        <v>104</v>
      </c>
      <c r="D737" s="92" t="n">
        <f aca="false">SRC_Demand!$O104</f>
        <v>0</v>
      </c>
      <c r="E737" s="92" t="n">
        <f aca="false">SRC_Demand!$K104</f>
        <v>0</v>
      </c>
      <c r="F737" s="92" t="n">
        <f aca="false">SRC_Demand!$S104</f>
        <v>0</v>
      </c>
    </row>
    <row r="738" customFormat="false" ht="15" hidden="false" customHeight="false" outlineLevel="0" collapsed="false">
      <c r="A738" s="92" t="str">
        <f aca="false">SRC_Demand!$A105&amp;""</f>
        <v/>
      </c>
      <c r="B738" s="61" t="s">
        <v>8481</v>
      </c>
      <c r="C738" s="60" t="n">
        <v>105</v>
      </c>
      <c r="D738" s="92" t="n">
        <f aca="false">SRC_Demand!$O105</f>
        <v>0</v>
      </c>
      <c r="E738" s="92" t="n">
        <f aca="false">SRC_Demand!$K105</f>
        <v>0</v>
      </c>
      <c r="F738" s="92" t="n">
        <f aca="false">SRC_Demand!$S105</f>
        <v>0</v>
      </c>
    </row>
    <row r="739" customFormat="false" ht="15" hidden="false" customHeight="false" outlineLevel="0" collapsed="false">
      <c r="A739" s="92" t="str">
        <f aca="false">SRC_Demand!$A106&amp;""</f>
        <v/>
      </c>
      <c r="B739" s="61" t="s">
        <v>8481</v>
      </c>
      <c r="C739" s="60" t="n">
        <v>106</v>
      </c>
      <c r="D739" s="92" t="n">
        <f aca="false">SRC_Demand!$O106</f>
        <v>0</v>
      </c>
      <c r="E739" s="92" t="n">
        <f aca="false">SRC_Demand!$K106</f>
        <v>0</v>
      </c>
      <c r="F739" s="92" t="n">
        <f aca="false">SRC_Demand!$S106</f>
        <v>0</v>
      </c>
    </row>
    <row r="740" customFormat="false" ht="15" hidden="false" customHeight="false" outlineLevel="0" collapsed="false">
      <c r="A740" s="92" t="str">
        <f aca="false">SRC_Demand!$A107&amp;""</f>
        <v/>
      </c>
      <c r="B740" s="61" t="s">
        <v>8481</v>
      </c>
      <c r="C740" s="60" t="n">
        <v>107</v>
      </c>
      <c r="D740" s="92" t="n">
        <f aca="false">SRC_Demand!$O107</f>
        <v>0</v>
      </c>
      <c r="E740" s="92" t="n">
        <f aca="false">SRC_Demand!$K107</f>
        <v>0</v>
      </c>
      <c r="F740" s="92" t="n">
        <f aca="false">SRC_Demand!$S107</f>
        <v>0</v>
      </c>
    </row>
    <row r="741" customFormat="false" ht="15" hidden="false" customHeight="false" outlineLevel="0" collapsed="false">
      <c r="A741" s="92" t="str">
        <f aca="false">SRC_Demand!$A108&amp;""</f>
        <v/>
      </c>
      <c r="B741" s="61" t="s">
        <v>8481</v>
      </c>
      <c r="C741" s="60" t="n">
        <v>108</v>
      </c>
      <c r="D741" s="92" t="n">
        <f aca="false">SRC_Demand!$O108</f>
        <v>0</v>
      </c>
      <c r="E741" s="92" t="n">
        <f aca="false">SRC_Demand!$K108</f>
        <v>0</v>
      </c>
      <c r="F741" s="92" t="n">
        <f aca="false">SRC_Demand!$S108</f>
        <v>0</v>
      </c>
    </row>
    <row r="742" customFormat="false" ht="15" hidden="false" customHeight="false" outlineLevel="0" collapsed="false">
      <c r="A742" s="92" t="str">
        <f aca="false">SRC_Demand!$A109&amp;""</f>
        <v/>
      </c>
      <c r="B742" s="61" t="s">
        <v>8481</v>
      </c>
      <c r="C742" s="60" t="n">
        <v>109</v>
      </c>
      <c r="D742" s="92" t="n">
        <f aca="false">SRC_Demand!$O109</f>
        <v>0</v>
      </c>
      <c r="E742" s="92" t="n">
        <f aca="false">SRC_Demand!$K109</f>
        <v>0</v>
      </c>
      <c r="F742" s="92" t="n">
        <f aca="false">SRC_Demand!$S109</f>
        <v>0</v>
      </c>
    </row>
    <row r="743" customFormat="false" ht="15" hidden="false" customHeight="false" outlineLevel="0" collapsed="false">
      <c r="A743" s="92" t="str">
        <f aca="false">SRC_Demand!$A110&amp;""</f>
        <v/>
      </c>
      <c r="B743" s="61" t="s">
        <v>8481</v>
      </c>
      <c r="C743" s="60" t="n">
        <v>110</v>
      </c>
      <c r="D743" s="92" t="n">
        <f aca="false">SRC_Demand!$O110</f>
        <v>0</v>
      </c>
      <c r="E743" s="92" t="n">
        <f aca="false">SRC_Demand!$K110</f>
        <v>0</v>
      </c>
      <c r="F743" s="92" t="n">
        <f aca="false">SRC_Demand!$S110</f>
        <v>0</v>
      </c>
    </row>
    <row r="744" customFormat="false" ht="15" hidden="false" customHeight="false" outlineLevel="0" collapsed="false">
      <c r="A744" s="92" t="str">
        <f aca="false">SRC_Demand!$A111&amp;""</f>
        <v/>
      </c>
      <c r="B744" s="61" t="s">
        <v>8481</v>
      </c>
      <c r="C744" s="60" t="n">
        <v>111</v>
      </c>
      <c r="D744" s="92" t="n">
        <f aca="false">SRC_Demand!$O111</f>
        <v>0</v>
      </c>
      <c r="E744" s="92" t="n">
        <f aca="false">SRC_Demand!$K111</f>
        <v>0</v>
      </c>
      <c r="F744" s="92" t="n">
        <f aca="false">SRC_Demand!$S111</f>
        <v>0</v>
      </c>
    </row>
    <row r="745" customFormat="false" ht="15" hidden="false" customHeight="false" outlineLevel="0" collapsed="false">
      <c r="A745" s="92" t="str">
        <f aca="false">SRC_Demand!$A112&amp;""</f>
        <v/>
      </c>
      <c r="B745" s="61" t="s">
        <v>8481</v>
      </c>
      <c r="C745" s="60" t="n">
        <v>112</v>
      </c>
      <c r="D745" s="92" t="n">
        <f aca="false">SRC_Demand!$O112</f>
        <v>0</v>
      </c>
      <c r="E745" s="92" t="n">
        <f aca="false">SRC_Demand!$K112</f>
        <v>0</v>
      </c>
      <c r="F745" s="92" t="n">
        <f aca="false">SRC_Demand!$S112</f>
        <v>0</v>
      </c>
    </row>
    <row r="746" customFormat="false" ht="15" hidden="false" customHeight="false" outlineLevel="0" collapsed="false">
      <c r="A746" s="92" t="str">
        <f aca="false">SRC_Demand!$A113&amp;""</f>
        <v/>
      </c>
      <c r="B746" s="61" t="s">
        <v>8481</v>
      </c>
      <c r="C746" s="60" t="n">
        <v>113</v>
      </c>
      <c r="D746" s="92" t="n">
        <f aca="false">SRC_Demand!$O113</f>
        <v>0</v>
      </c>
      <c r="E746" s="92" t="n">
        <f aca="false">SRC_Demand!$K113</f>
        <v>0</v>
      </c>
      <c r="F746" s="92" t="n">
        <f aca="false">SRC_Demand!$S113</f>
        <v>0</v>
      </c>
    </row>
    <row r="747" customFormat="false" ht="15" hidden="false" customHeight="false" outlineLevel="0" collapsed="false">
      <c r="A747" s="92" t="str">
        <f aca="false">SRC_Demand!$A114&amp;""</f>
        <v/>
      </c>
      <c r="B747" s="61" t="s">
        <v>8481</v>
      </c>
      <c r="C747" s="60" t="n">
        <v>114</v>
      </c>
      <c r="D747" s="92" t="n">
        <f aca="false">SRC_Demand!$O114</f>
        <v>0</v>
      </c>
      <c r="E747" s="92" t="n">
        <f aca="false">SRC_Demand!$K114</f>
        <v>0</v>
      </c>
      <c r="F747" s="92" t="n">
        <f aca="false">SRC_Demand!$S114</f>
        <v>0</v>
      </c>
    </row>
    <row r="748" customFormat="false" ht="15" hidden="false" customHeight="false" outlineLevel="0" collapsed="false">
      <c r="A748" s="92" t="str">
        <f aca="false">SRC_Demand!$A115&amp;""</f>
        <v/>
      </c>
      <c r="B748" s="61" t="s">
        <v>8481</v>
      </c>
      <c r="C748" s="60" t="n">
        <v>115</v>
      </c>
      <c r="D748" s="92" t="n">
        <f aca="false">SRC_Demand!$O115</f>
        <v>0</v>
      </c>
      <c r="E748" s="92" t="n">
        <f aca="false">SRC_Demand!$K115</f>
        <v>0</v>
      </c>
      <c r="F748" s="92" t="n">
        <f aca="false">SRC_Demand!$S115</f>
        <v>0</v>
      </c>
    </row>
    <row r="749" customFormat="false" ht="15" hidden="false" customHeight="false" outlineLevel="0" collapsed="false">
      <c r="A749" s="92" t="str">
        <f aca="false">SRC_Demand!$A116&amp;""</f>
        <v/>
      </c>
      <c r="B749" s="61" t="s">
        <v>8481</v>
      </c>
      <c r="C749" s="60" t="n">
        <v>116</v>
      </c>
      <c r="D749" s="92" t="n">
        <f aca="false">SRC_Demand!$O116</f>
        <v>0</v>
      </c>
      <c r="E749" s="92" t="n">
        <f aca="false">SRC_Demand!$K116</f>
        <v>0</v>
      </c>
      <c r="F749" s="92" t="n">
        <f aca="false">SRC_Demand!$S116</f>
        <v>0</v>
      </c>
    </row>
    <row r="750" customFormat="false" ht="15" hidden="false" customHeight="false" outlineLevel="0" collapsed="false">
      <c r="A750" s="92" t="str">
        <f aca="false">SRC_Demand!$A117&amp;""</f>
        <v/>
      </c>
      <c r="B750" s="61" t="s">
        <v>8481</v>
      </c>
      <c r="C750" s="60" t="n">
        <v>117</v>
      </c>
      <c r="D750" s="92" t="n">
        <f aca="false">SRC_Demand!$O117</f>
        <v>0</v>
      </c>
      <c r="E750" s="92" t="n">
        <f aca="false">SRC_Demand!$K117</f>
        <v>0</v>
      </c>
      <c r="F750" s="92" t="n">
        <f aca="false">SRC_Demand!$S117</f>
        <v>0</v>
      </c>
    </row>
    <row r="751" customFormat="false" ht="15" hidden="false" customHeight="false" outlineLevel="0" collapsed="false">
      <c r="A751" s="92" t="str">
        <f aca="false">SRC_Demand!$A118&amp;""</f>
        <v/>
      </c>
      <c r="B751" s="61" t="s">
        <v>8481</v>
      </c>
      <c r="C751" s="60" t="n">
        <v>118</v>
      </c>
      <c r="D751" s="92" t="n">
        <f aca="false">SRC_Demand!$O118</f>
        <v>0</v>
      </c>
      <c r="E751" s="92" t="n">
        <f aca="false">SRC_Demand!$K118</f>
        <v>0</v>
      </c>
      <c r="F751" s="92" t="n">
        <f aca="false">SRC_Demand!$S118</f>
        <v>0</v>
      </c>
    </row>
    <row r="752" customFormat="false" ht="15" hidden="false" customHeight="false" outlineLevel="0" collapsed="false">
      <c r="A752" s="92" t="str">
        <f aca="false">SRC_Demand!$A119&amp;""</f>
        <v/>
      </c>
      <c r="B752" s="61" t="s">
        <v>8481</v>
      </c>
      <c r="C752" s="60" t="n">
        <v>119</v>
      </c>
      <c r="D752" s="92" t="n">
        <f aca="false">SRC_Demand!$O119</f>
        <v>0</v>
      </c>
      <c r="E752" s="92" t="n">
        <f aca="false">SRC_Demand!$K119</f>
        <v>0</v>
      </c>
      <c r="F752" s="92" t="n">
        <f aca="false">SRC_Demand!$S119</f>
        <v>0</v>
      </c>
    </row>
    <row r="753" customFormat="false" ht="15" hidden="false" customHeight="false" outlineLevel="0" collapsed="false">
      <c r="A753" s="92" t="str">
        <f aca="false">SRC_Demand!$A120&amp;""</f>
        <v/>
      </c>
      <c r="B753" s="61" t="s">
        <v>8481</v>
      </c>
      <c r="C753" s="60" t="n">
        <v>120</v>
      </c>
      <c r="D753" s="92" t="n">
        <f aca="false">SRC_Demand!$O120</f>
        <v>0</v>
      </c>
      <c r="E753" s="92" t="n">
        <f aca="false">SRC_Demand!$K120</f>
        <v>0</v>
      </c>
      <c r="F753" s="92" t="n">
        <f aca="false">SRC_Demand!$S120</f>
        <v>0</v>
      </c>
    </row>
    <row r="754" customFormat="false" ht="15" hidden="false" customHeight="false" outlineLevel="0" collapsed="false">
      <c r="A754" s="92" t="str">
        <f aca="false">SRC_Demand!$A121&amp;""</f>
        <v/>
      </c>
      <c r="B754" s="61" t="s">
        <v>8481</v>
      </c>
      <c r="C754" s="60" t="n">
        <v>121</v>
      </c>
      <c r="D754" s="92" t="n">
        <f aca="false">SRC_Demand!$O121</f>
        <v>0</v>
      </c>
      <c r="E754" s="92" t="n">
        <f aca="false">SRC_Demand!$K121</f>
        <v>0</v>
      </c>
      <c r="F754" s="92" t="n">
        <f aca="false">SRC_Demand!$S121</f>
        <v>0</v>
      </c>
    </row>
    <row r="755" customFormat="false" ht="15" hidden="false" customHeight="false" outlineLevel="0" collapsed="false">
      <c r="A755" s="92" t="str">
        <f aca="false">SRC_Demand!$A122&amp;""</f>
        <v/>
      </c>
      <c r="B755" s="61" t="s">
        <v>8481</v>
      </c>
      <c r="C755" s="60" t="n">
        <v>122</v>
      </c>
      <c r="D755" s="92" t="n">
        <f aca="false">SRC_Demand!$O122</f>
        <v>0</v>
      </c>
      <c r="E755" s="92" t="n">
        <f aca="false">SRC_Demand!$K122</f>
        <v>0</v>
      </c>
      <c r="F755" s="92" t="n">
        <f aca="false">SRC_Demand!$S122</f>
        <v>0</v>
      </c>
    </row>
    <row r="756" customFormat="false" ht="15" hidden="false" customHeight="false" outlineLevel="0" collapsed="false">
      <c r="A756" s="92" t="str">
        <f aca="false">SRC_Demand!$A123&amp;""</f>
        <v/>
      </c>
      <c r="B756" s="61" t="s">
        <v>8481</v>
      </c>
      <c r="C756" s="60" t="n">
        <v>123</v>
      </c>
      <c r="D756" s="92" t="n">
        <f aca="false">SRC_Demand!$O123</f>
        <v>0</v>
      </c>
      <c r="E756" s="92" t="n">
        <f aca="false">SRC_Demand!$K123</f>
        <v>0</v>
      </c>
      <c r="F756" s="92" t="n">
        <f aca="false">SRC_Demand!$S123</f>
        <v>0</v>
      </c>
    </row>
    <row r="757" customFormat="false" ht="15" hidden="false" customHeight="false" outlineLevel="0" collapsed="false">
      <c r="A757" s="92" t="str">
        <f aca="false">SRC_Demand!$A124&amp;""</f>
        <v/>
      </c>
      <c r="B757" s="61" t="s">
        <v>8481</v>
      </c>
      <c r="C757" s="60" t="n">
        <v>124</v>
      </c>
      <c r="D757" s="92" t="n">
        <f aca="false">SRC_Demand!$O124</f>
        <v>0</v>
      </c>
      <c r="E757" s="92" t="n">
        <f aca="false">SRC_Demand!$K124</f>
        <v>0</v>
      </c>
      <c r="F757" s="92" t="n">
        <f aca="false">SRC_Demand!$S124</f>
        <v>0</v>
      </c>
    </row>
    <row r="758" customFormat="false" ht="15" hidden="false" customHeight="false" outlineLevel="0" collapsed="false">
      <c r="A758" s="92" t="str">
        <f aca="false">SRC_Demand!$A125&amp;""</f>
        <v/>
      </c>
      <c r="B758" s="61" t="s">
        <v>8481</v>
      </c>
      <c r="C758" s="60" t="n">
        <v>125</v>
      </c>
      <c r="D758" s="92" t="n">
        <f aca="false">SRC_Demand!$O125</f>
        <v>0</v>
      </c>
      <c r="E758" s="92" t="n">
        <f aca="false">SRC_Demand!$K125</f>
        <v>0</v>
      </c>
      <c r="F758" s="92" t="n">
        <f aca="false">SRC_Demand!$S125</f>
        <v>0</v>
      </c>
    </row>
    <row r="759" customFormat="false" ht="15" hidden="false" customHeight="false" outlineLevel="0" collapsed="false">
      <c r="A759" s="92" t="str">
        <f aca="false">SRC_Demand!$A126&amp;""</f>
        <v/>
      </c>
      <c r="B759" s="61" t="s">
        <v>8481</v>
      </c>
      <c r="C759" s="60" t="n">
        <v>126</v>
      </c>
      <c r="D759" s="92" t="n">
        <f aca="false">SRC_Demand!$O126</f>
        <v>0</v>
      </c>
      <c r="E759" s="92" t="n">
        <f aca="false">SRC_Demand!$K126</f>
        <v>0</v>
      </c>
      <c r="F759" s="92" t="n">
        <f aca="false">SRC_Demand!$S126</f>
        <v>0</v>
      </c>
    </row>
    <row r="760" customFormat="false" ht="15" hidden="false" customHeight="false" outlineLevel="0" collapsed="false">
      <c r="A760" s="92" t="str">
        <f aca="false">SRC_Demand!$A127&amp;""</f>
        <v/>
      </c>
      <c r="B760" s="61" t="s">
        <v>8481</v>
      </c>
      <c r="C760" s="60" t="n">
        <v>127</v>
      </c>
      <c r="D760" s="92" t="n">
        <f aca="false">SRC_Demand!$O127</f>
        <v>0</v>
      </c>
      <c r="E760" s="92" t="n">
        <f aca="false">SRC_Demand!$K127</f>
        <v>0</v>
      </c>
      <c r="F760" s="92" t="n">
        <f aca="false">SRC_Demand!$S127</f>
        <v>0</v>
      </c>
    </row>
    <row r="761" customFormat="false" ht="15" hidden="false" customHeight="false" outlineLevel="0" collapsed="false">
      <c r="A761" s="92" t="str">
        <f aca="false">Gov_Map!$H5&amp;""</f>
        <v>—</v>
      </c>
      <c r="B761" s="73" t="s">
        <v>8482</v>
      </c>
      <c r="C761" s="60" t="n">
        <v>5</v>
      </c>
      <c r="D761" s="60" t="s">
        <v>8483</v>
      </c>
      <c r="E761" s="60" t="s">
        <v>8483</v>
      </c>
      <c r="F761" s="61" t="s">
        <v>620</v>
      </c>
    </row>
    <row r="762" customFormat="false" ht="15" hidden="false" customHeight="false" outlineLevel="0" collapsed="false">
      <c r="A762" s="92" t="str">
        <f aca="false">Gov_Map!$H6&amp;""</f>
        <v>—</v>
      </c>
      <c r="B762" s="73" t="s">
        <v>8482</v>
      </c>
      <c r="C762" s="60" t="n">
        <v>6</v>
      </c>
      <c r="D762" s="60" t="s">
        <v>8483</v>
      </c>
      <c r="E762" s="60" t="s">
        <v>8483</v>
      </c>
      <c r="F762" s="61" t="s">
        <v>620</v>
      </c>
    </row>
    <row r="763" customFormat="false" ht="15" hidden="false" customHeight="false" outlineLevel="0" collapsed="false">
      <c r="A763" s="92" t="str">
        <f aca="false">Gov_Map!$H7&amp;""</f>
        <v>—</v>
      </c>
      <c r="B763" s="73" t="s">
        <v>8482</v>
      </c>
      <c r="C763" s="60" t="n">
        <v>7</v>
      </c>
      <c r="D763" s="60" t="s">
        <v>8483</v>
      </c>
      <c r="E763" s="60" t="s">
        <v>8483</v>
      </c>
      <c r="F763" s="61" t="s">
        <v>620</v>
      </c>
    </row>
    <row r="764" customFormat="false" ht="15" hidden="false" customHeight="false" outlineLevel="0" collapsed="false">
      <c r="A764" s="92" t="str">
        <f aca="false">Gov_Map!$H8&amp;""</f>
        <v>—</v>
      </c>
      <c r="B764" s="73" t="s">
        <v>8482</v>
      </c>
      <c r="C764" s="60" t="n">
        <v>8</v>
      </c>
      <c r="D764" s="60" t="s">
        <v>8483</v>
      </c>
      <c r="E764" s="60" t="s">
        <v>8483</v>
      </c>
      <c r="F764" s="61" t="s">
        <v>620</v>
      </c>
    </row>
    <row r="765" customFormat="false" ht="15" hidden="false" customHeight="false" outlineLevel="0" collapsed="false">
      <c r="A765" s="92" t="str">
        <f aca="false">Gov_Map!$H9&amp;""</f>
        <v>—</v>
      </c>
      <c r="B765" s="73" t="s">
        <v>8482</v>
      </c>
      <c r="C765" s="60" t="n">
        <v>9</v>
      </c>
      <c r="D765" s="60" t="s">
        <v>8483</v>
      </c>
      <c r="E765" s="60" t="s">
        <v>8483</v>
      </c>
      <c r="F765" s="61" t="s">
        <v>620</v>
      </c>
    </row>
    <row r="766" customFormat="false" ht="15" hidden="false" customHeight="false" outlineLevel="0" collapsed="false">
      <c r="A766" s="92" t="str">
        <f aca="false">Gov_Map!$H10&amp;""</f>
        <v>—</v>
      </c>
      <c r="B766" s="73" t="s">
        <v>8482</v>
      </c>
      <c r="C766" s="60" t="n">
        <v>10</v>
      </c>
      <c r="D766" s="60" t="s">
        <v>8483</v>
      </c>
      <c r="E766" s="60" t="s">
        <v>8483</v>
      </c>
      <c r="F766" s="61" t="s">
        <v>620</v>
      </c>
    </row>
    <row r="767" customFormat="false" ht="15" hidden="false" customHeight="false" outlineLevel="0" collapsed="false">
      <c r="A767" s="92" t="str">
        <f aca="false">Gov_Map!$H11&amp;""</f>
        <v>—</v>
      </c>
      <c r="B767" s="73" t="s">
        <v>8482</v>
      </c>
      <c r="C767" s="60" t="n">
        <v>11</v>
      </c>
      <c r="D767" s="60" t="s">
        <v>8483</v>
      </c>
      <c r="E767" s="60" t="s">
        <v>8483</v>
      </c>
      <c r="F767" s="61" t="s">
        <v>620</v>
      </c>
    </row>
    <row r="768" customFormat="false" ht="15" hidden="false" customHeight="false" outlineLevel="0" collapsed="false">
      <c r="A768" s="92" t="str">
        <f aca="false">Gov_Map!$H12&amp;""</f>
        <v>—</v>
      </c>
      <c r="B768" s="73" t="s">
        <v>8482</v>
      </c>
      <c r="C768" s="60" t="n">
        <v>12</v>
      </c>
      <c r="D768" s="60" t="s">
        <v>8483</v>
      </c>
      <c r="E768" s="60" t="s">
        <v>8483</v>
      </c>
      <c r="F768" s="61" t="s">
        <v>620</v>
      </c>
    </row>
    <row r="769" customFormat="false" ht="15" hidden="false" customHeight="false" outlineLevel="0" collapsed="false">
      <c r="A769" s="92" t="str">
        <f aca="false">Gov_Map!$H13&amp;""</f>
        <v>—</v>
      </c>
      <c r="B769" s="73" t="s">
        <v>8482</v>
      </c>
      <c r="C769" s="60" t="n">
        <v>13</v>
      </c>
      <c r="D769" s="60" t="s">
        <v>8483</v>
      </c>
      <c r="E769" s="60" t="s">
        <v>8483</v>
      </c>
      <c r="F769" s="61" t="s">
        <v>620</v>
      </c>
    </row>
    <row r="770" customFormat="false" ht="15" hidden="false" customHeight="false" outlineLevel="0" collapsed="false">
      <c r="A770" s="92" t="str">
        <f aca="false">Gov_Map!$H14&amp;""</f>
        <v>SRC_DC_006</v>
      </c>
      <c r="B770" s="73" t="s">
        <v>8482</v>
      </c>
      <c r="C770" s="60" t="n">
        <v>14</v>
      </c>
      <c r="D770" s="60" t="s">
        <v>8483</v>
      </c>
      <c r="E770" s="60" t="s">
        <v>8483</v>
      </c>
      <c r="F770" s="61" t="s">
        <v>620</v>
      </c>
    </row>
    <row r="771" customFormat="false" ht="15" hidden="false" customHeight="false" outlineLevel="0" collapsed="false">
      <c r="A771" s="92" t="str">
        <f aca="false">Gov_Map!$H15&amp;""</f>
        <v>SRC_DC_006</v>
      </c>
      <c r="B771" s="73" t="s">
        <v>8482</v>
      </c>
      <c r="C771" s="60" t="n">
        <v>15</v>
      </c>
      <c r="D771" s="60" t="s">
        <v>8483</v>
      </c>
      <c r="E771" s="60" t="s">
        <v>8483</v>
      </c>
      <c r="F771" s="61" t="s">
        <v>620</v>
      </c>
    </row>
    <row r="772" customFormat="false" ht="15" hidden="false" customHeight="false" outlineLevel="0" collapsed="false">
      <c r="A772" s="92" t="str">
        <f aca="false">Gov_Map!$H16&amp;""</f>
        <v>SRC_DC_006</v>
      </c>
      <c r="B772" s="73" t="s">
        <v>8482</v>
      </c>
      <c r="C772" s="60" t="n">
        <v>16</v>
      </c>
      <c r="D772" s="60" t="s">
        <v>8483</v>
      </c>
      <c r="E772" s="60" t="s">
        <v>8483</v>
      </c>
      <c r="F772" s="61" t="s">
        <v>620</v>
      </c>
    </row>
    <row r="773" customFormat="false" ht="15" hidden="false" customHeight="false" outlineLevel="0" collapsed="false">
      <c r="A773" s="92" t="str">
        <f aca="false">Gov_Map!$H17&amp;""</f>
        <v>SRC_DC_001</v>
      </c>
      <c r="B773" s="73" t="s">
        <v>8482</v>
      </c>
      <c r="C773" s="60" t="n">
        <v>17</v>
      </c>
      <c r="D773" s="60" t="s">
        <v>8483</v>
      </c>
      <c r="E773" s="60" t="s">
        <v>8483</v>
      </c>
      <c r="F773" s="61" t="s">
        <v>620</v>
      </c>
    </row>
    <row r="774" customFormat="false" ht="15" hidden="false" customHeight="false" outlineLevel="0" collapsed="false">
      <c r="A774" s="92" t="str">
        <f aca="false">Gov_Map!$H18&amp;""</f>
        <v>SRC_DC_001</v>
      </c>
      <c r="B774" s="73" t="s">
        <v>8482</v>
      </c>
      <c r="C774" s="60" t="n">
        <v>18</v>
      </c>
      <c r="D774" s="60" t="s">
        <v>8483</v>
      </c>
      <c r="E774" s="60" t="s">
        <v>8483</v>
      </c>
      <c r="F774" s="61" t="s">
        <v>620</v>
      </c>
    </row>
    <row r="775" customFormat="false" ht="15" hidden="false" customHeight="false" outlineLevel="0" collapsed="false">
      <c r="A775" s="92" t="str">
        <f aca="false">Gov_Map!$H19&amp;""</f>
        <v>SRC_DC_002</v>
      </c>
      <c r="B775" s="73" t="s">
        <v>8482</v>
      </c>
      <c r="C775" s="60" t="n">
        <v>19</v>
      </c>
      <c r="D775" s="60" t="s">
        <v>8483</v>
      </c>
      <c r="E775" s="60" t="s">
        <v>8483</v>
      </c>
      <c r="F775" s="61" t="s">
        <v>620</v>
      </c>
    </row>
    <row r="776" customFormat="false" ht="15" hidden="false" customHeight="false" outlineLevel="0" collapsed="false">
      <c r="A776" s="92" t="str">
        <f aca="false">Gov_Map!$H20&amp;""</f>
        <v>—</v>
      </c>
      <c r="B776" s="73" t="s">
        <v>8482</v>
      </c>
      <c r="C776" s="60" t="n">
        <v>20</v>
      </c>
      <c r="D776" s="60" t="s">
        <v>8483</v>
      </c>
      <c r="E776" s="60" t="s">
        <v>8483</v>
      </c>
      <c r="F776" s="61" t="s">
        <v>620</v>
      </c>
    </row>
    <row r="777" customFormat="false" ht="15" hidden="false" customHeight="false" outlineLevel="0" collapsed="false">
      <c r="A777" s="92" t="str">
        <f aca="false">Gov_Map!$H21&amp;""</f>
        <v>—</v>
      </c>
      <c r="B777" s="73" t="s">
        <v>8482</v>
      </c>
      <c r="C777" s="60" t="n">
        <v>21</v>
      </c>
      <c r="D777" s="60" t="s">
        <v>8483</v>
      </c>
      <c r="E777" s="60" t="s">
        <v>8483</v>
      </c>
      <c r="F777" s="61" t="s">
        <v>620</v>
      </c>
    </row>
    <row r="778" customFormat="false" ht="15" hidden="false" customHeight="false" outlineLevel="0" collapsed="false">
      <c r="A778" s="92" t="str">
        <f aca="false">Gov_Map!$H22&amp;""</f>
        <v>—</v>
      </c>
      <c r="B778" s="73" t="s">
        <v>8482</v>
      </c>
      <c r="C778" s="60" t="n">
        <v>22</v>
      </c>
      <c r="D778" s="60" t="s">
        <v>8483</v>
      </c>
      <c r="E778" s="60" t="s">
        <v>8483</v>
      </c>
      <c r="F778" s="61" t="s">
        <v>620</v>
      </c>
    </row>
    <row r="779" customFormat="false" ht="15" hidden="false" customHeight="false" outlineLevel="0" collapsed="false">
      <c r="A779" s="92" t="str">
        <f aca="false">Gov_Map!$H23&amp;""</f>
        <v>—</v>
      </c>
      <c r="B779" s="73" t="s">
        <v>8482</v>
      </c>
      <c r="C779" s="60" t="n">
        <v>23</v>
      </c>
      <c r="D779" s="60" t="s">
        <v>8483</v>
      </c>
      <c r="E779" s="60" t="s">
        <v>8483</v>
      </c>
      <c r="F779" s="61" t="s">
        <v>620</v>
      </c>
    </row>
    <row r="780" customFormat="false" ht="15" hidden="false" customHeight="false" outlineLevel="0" collapsed="false">
      <c r="A780" s="92" t="str">
        <f aca="false">Gov_Map!$H24&amp;""</f>
        <v>—</v>
      </c>
      <c r="B780" s="73" t="s">
        <v>8482</v>
      </c>
      <c r="C780" s="60" t="n">
        <v>24</v>
      </c>
      <c r="D780" s="60" t="s">
        <v>8483</v>
      </c>
      <c r="E780" s="60" t="s">
        <v>8483</v>
      </c>
      <c r="F780" s="61" t="s">
        <v>620</v>
      </c>
    </row>
    <row r="781" customFormat="false" ht="15" hidden="false" customHeight="false" outlineLevel="0" collapsed="false">
      <c r="A781" s="92" t="str">
        <f aca="false">Gov_Map!$H25&amp;""</f>
        <v>—</v>
      </c>
      <c r="B781" s="73" t="s">
        <v>8482</v>
      </c>
      <c r="C781" s="60" t="n">
        <v>25</v>
      </c>
      <c r="D781" s="60" t="s">
        <v>8483</v>
      </c>
      <c r="E781" s="60" t="s">
        <v>8483</v>
      </c>
      <c r="F781" s="61" t="s">
        <v>620</v>
      </c>
    </row>
    <row r="782" customFormat="false" ht="15" hidden="false" customHeight="false" outlineLevel="0" collapsed="false">
      <c r="A782" s="92" t="str">
        <f aca="false">Gov_Map!$H26&amp;""</f>
        <v>—</v>
      </c>
      <c r="B782" s="73" t="s">
        <v>8482</v>
      </c>
      <c r="C782" s="60" t="n">
        <v>26</v>
      </c>
      <c r="D782" s="60" t="s">
        <v>8483</v>
      </c>
      <c r="E782" s="60" t="s">
        <v>8483</v>
      </c>
      <c r="F782" s="61" t="s">
        <v>620</v>
      </c>
    </row>
    <row r="783" customFormat="false" ht="15" hidden="false" customHeight="false" outlineLevel="0" collapsed="false">
      <c r="A783" s="92" t="str">
        <f aca="false">Gov_Map!$H27&amp;""</f>
        <v>—</v>
      </c>
      <c r="B783" s="73" t="s">
        <v>8482</v>
      </c>
      <c r="C783" s="60" t="n">
        <v>27</v>
      </c>
      <c r="D783" s="60" t="s">
        <v>8483</v>
      </c>
      <c r="E783" s="60" t="s">
        <v>8483</v>
      </c>
      <c r="F783" s="61" t="s">
        <v>620</v>
      </c>
    </row>
    <row r="784" customFormat="false" ht="15" hidden="false" customHeight="false" outlineLevel="0" collapsed="false">
      <c r="A784" s="92" t="str">
        <f aca="false">Gov_Map!$H28&amp;""</f>
        <v>—</v>
      </c>
      <c r="B784" s="73" t="s">
        <v>8482</v>
      </c>
      <c r="C784" s="60" t="n">
        <v>28</v>
      </c>
      <c r="D784" s="60" t="s">
        <v>8483</v>
      </c>
      <c r="E784" s="60" t="s">
        <v>8483</v>
      </c>
      <c r="F784" s="61" t="s">
        <v>620</v>
      </c>
    </row>
    <row r="785" customFormat="false" ht="15" hidden="false" customHeight="false" outlineLevel="0" collapsed="false">
      <c r="A785" s="92" t="str">
        <f aca="false">Gov_Map!$H29&amp;""</f>
        <v>—</v>
      </c>
      <c r="B785" s="73" t="s">
        <v>8482</v>
      </c>
      <c r="C785" s="60" t="n">
        <v>29</v>
      </c>
      <c r="D785" s="60" t="s">
        <v>8483</v>
      </c>
      <c r="E785" s="60" t="s">
        <v>8483</v>
      </c>
      <c r="F785" s="61" t="s">
        <v>620</v>
      </c>
    </row>
    <row r="786" customFormat="false" ht="15" hidden="false" customHeight="false" outlineLevel="0" collapsed="false">
      <c r="A786" s="92" t="str">
        <f aca="false">Gov_Map!$H30&amp;""</f>
        <v>—</v>
      </c>
      <c r="B786" s="73" t="s">
        <v>8482</v>
      </c>
      <c r="C786" s="60" t="n">
        <v>30</v>
      </c>
      <c r="D786" s="60" t="s">
        <v>8483</v>
      </c>
      <c r="E786" s="60" t="s">
        <v>8483</v>
      </c>
      <c r="F786" s="61" t="s">
        <v>620</v>
      </c>
    </row>
    <row r="787" customFormat="false" ht="15" hidden="false" customHeight="false" outlineLevel="0" collapsed="false">
      <c r="A787" s="92" t="str">
        <f aca="false">Gov_Map!$H31&amp;""</f>
        <v>—</v>
      </c>
      <c r="B787" s="73" t="s">
        <v>8482</v>
      </c>
      <c r="C787" s="60" t="n">
        <v>31</v>
      </c>
      <c r="D787" s="60" t="s">
        <v>8483</v>
      </c>
      <c r="E787" s="60" t="s">
        <v>8483</v>
      </c>
      <c r="F787" s="61" t="s">
        <v>620</v>
      </c>
    </row>
    <row r="788" customFormat="false" ht="15" hidden="false" customHeight="false" outlineLevel="0" collapsed="false">
      <c r="A788" s="92" t="str">
        <f aca="false">Gov_Map!$H32&amp;""</f>
        <v>—</v>
      </c>
      <c r="B788" s="73" t="s">
        <v>8482</v>
      </c>
      <c r="C788" s="60" t="n">
        <v>32</v>
      </c>
      <c r="D788" s="60" t="s">
        <v>8483</v>
      </c>
      <c r="E788" s="60" t="s">
        <v>8483</v>
      </c>
      <c r="F788" s="61" t="s">
        <v>620</v>
      </c>
    </row>
    <row r="789" customFormat="false" ht="15" hidden="false" customHeight="false" outlineLevel="0" collapsed="false">
      <c r="A789" s="92" t="str">
        <f aca="false">Gov_Map!$H33&amp;""</f>
        <v>—</v>
      </c>
      <c r="B789" s="73" t="s">
        <v>8482</v>
      </c>
      <c r="C789" s="60" t="n">
        <v>33</v>
      </c>
      <c r="D789" s="60" t="s">
        <v>8483</v>
      </c>
      <c r="E789" s="60" t="s">
        <v>8483</v>
      </c>
      <c r="F789" s="61" t="s">
        <v>620</v>
      </c>
    </row>
    <row r="790" customFormat="false" ht="15" hidden="false" customHeight="false" outlineLevel="0" collapsed="false">
      <c r="A790" s="92" t="str">
        <f aca="false">Gov_Map!$H34&amp;""</f>
        <v>—</v>
      </c>
      <c r="B790" s="73" t="s">
        <v>8482</v>
      </c>
      <c r="C790" s="60" t="n">
        <v>34</v>
      </c>
      <c r="D790" s="60" t="s">
        <v>8483</v>
      </c>
      <c r="E790" s="60" t="s">
        <v>8483</v>
      </c>
      <c r="F790" s="61" t="s">
        <v>620</v>
      </c>
    </row>
    <row r="791" customFormat="false" ht="15" hidden="false" customHeight="false" outlineLevel="0" collapsed="false">
      <c r="A791" s="92" t="str">
        <f aca="false">Gov_Map!$H35&amp;""</f>
        <v>—</v>
      </c>
      <c r="B791" s="73" t="s">
        <v>8482</v>
      </c>
      <c r="C791" s="60" t="n">
        <v>35</v>
      </c>
      <c r="D791" s="60" t="s">
        <v>8483</v>
      </c>
      <c r="E791" s="60" t="s">
        <v>8483</v>
      </c>
      <c r="F791" s="61" t="s">
        <v>620</v>
      </c>
    </row>
    <row r="792" customFormat="false" ht="15" hidden="false" customHeight="false" outlineLevel="0" collapsed="false">
      <c r="A792" s="92" t="str">
        <f aca="false">Gov_Map!$H36&amp;""</f>
        <v>—</v>
      </c>
      <c r="B792" s="73" t="s">
        <v>8482</v>
      </c>
      <c r="C792" s="60" t="n">
        <v>36</v>
      </c>
      <c r="D792" s="60" t="s">
        <v>8483</v>
      </c>
      <c r="E792" s="60" t="s">
        <v>8483</v>
      </c>
      <c r="F792" s="61" t="s">
        <v>620</v>
      </c>
    </row>
    <row r="793" customFormat="false" ht="15" hidden="false" customHeight="false" outlineLevel="0" collapsed="false">
      <c r="A793" s="92" t="str">
        <f aca="false">Gov_Map!$H37&amp;""</f>
        <v>—</v>
      </c>
      <c r="B793" s="73" t="s">
        <v>8482</v>
      </c>
      <c r="C793" s="60" t="n">
        <v>37</v>
      </c>
      <c r="D793" s="60" t="s">
        <v>8483</v>
      </c>
      <c r="E793" s="60" t="s">
        <v>8483</v>
      </c>
      <c r="F793" s="61" t="s">
        <v>620</v>
      </c>
    </row>
    <row r="794" customFormat="false" ht="15" hidden="false" customHeight="false" outlineLevel="0" collapsed="false">
      <c r="A794" s="92" t="str">
        <f aca="false">Gov_Map!$H38&amp;""</f>
        <v>—</v>
      </c>
      <c r="B794" s="73" t="s">
        <v>8482</v>
      </c>
      <c r="C794" s="60" t="n">
        <v>38</v>
      </c>
      <c r="D794" s="60" t="s">
        <v>8483</v>
      </c>
      <c r="E794" s="60" t="s">
        <v>8483</v>
      </c>
      <c r="F794" s="61" t="s">
        <v>620</v>
      </c>
    </row>
    <row r="795" customFormat="false" ht="15" hidden="false" customHeight="false" outlineLevel="0" collapsed="false">
      <c r="A795" s="92" t="str">
        <f aca="false">Gov_Map!$H39&amp;""</f>
        <v>—</v>
      </c>
      <c r="B795" s="73" t="s">
        <v>8482</v>
      </c>
      <c r="C795" s="60" t="n">
        <v>39</v>
      </c>
      <c r="D795" s="60" t="s">
        <v>8483</v>
      </c>
      <c r="E795" s="60" t="s">
        <v>8483</v>
      </c>
      <c r="F795" s="61" t="s">
        <v>620</v>
      </c>
    </row>
    <row r="796" customFormat="false" ht="15" hidden="false" customHeight="false" outlineLevel="0" collapsed="false">
      <c r="A796" s="92" t="str">
        <f aca="false">Gov_Map!$H40&amp;""</f>
        <v>—</v>
      </c>
      <c r="B796" s="73" t="s">
        <v>8482</v>
      </c>
      <c r="C796" s="60" t="n">
        <v>40</v>
      </c>
      <c r="D796" s="60" t="s">
        <v>8483</v>
      </c>
      <c r="E796" s="60" t="s">
        <v>8483</v>
      </c>
      <c r="F796" s="61" t="s">
        <v>620</v>
      </c>
    </row>
    <row r="797" customFormat="false" ht="15" hidden="false" customHeight="false" outlineLevel="0" collapsed="false">
      <c r="A797" s="92" t="str">
        <f aca="false">Gov_Map!$H41&amp;""</f>
        <v>—</v>
      </c>
      <c r="B797" s="73" t="s">
        <v>8482</v>
      </c>
      <c r="C797" s="60" t="n">
        <v>41</v>
      </c>
      <c r="D797" s="60" t="s">
        <v>8483</v>
      </c>
      <c r="E797" s="60" t="s">
        <v>8483</v>
      </c>
      <c r="F797" s="61" t="s">
        <v>620</v>
      </c>
    </row>
    <row r="798" customFormat="false" ht="15" hidden="false" customHeight="false" outlineLevel="0" collapsed="false">
      <c r="A798" s="92" t="str">
        <f aca="false">Gov_Map!$H42&amp;""</f>
        <v>—</v>
      </c>
      <c r="B798" s="73" t="s">
        <v>8482</v>
      </c>
      <c r="C798" s="60" t="n">
        <v>42</v>
      </c>
      <c r="D798" s="60" t="s">
        <v>8483</v>
      </c>
      <c r="E798" s="60" t="s">
        <v>8483</v>
      </c>
      <c r="F798" s="61" t="s">
        <v>620</v>
      </c>
    </row>
    <row r="799" customFormat="false" ht="15" hidden="false" customHeight="false" outlineLevel="0" collapsed="false">
      <c r="A799" s="92" t="str">
        <f aca="false">Gov_Map!$H43&amp;""</f>
        <v>—</v>
      </c>
      <c r="B799" s="73" t="s">
        <v>8482</v>
      </c>
      <c r="C799" s="60" t="n">
        <v>43</v>
      </c>
      <c r="D799" s="60" t="s">
        <v>8483</v>
      </c>
      <c r="E799" s="60" t="s">
        <v>8483</v>
      </c>
      <c r="F799" s="61" t="s">
        <v>620</v>
      </c>
    </row>
    <row r="800" customFormat="false" ht="15" hidden="false" customHeight="false" outlineLevel="0" collapsed="false">
      <c r="A800" s="92" t="str">
        <f aca="false">Gov_Map!$H44&amp;""</f>
        <v>—</v>
      </c>
      <c r="B800" s="73" t="s">
        <v>8482</v>
      </c>
      <c r="C800" s="60" t="n">
        <v>44</v>
      </c>
      <c r="D800" s="60" t="s">
        <v>8483</v>
      </c>
      <c r="E800" s="60" t="s">
        <v>8483</v>
      </c>
      <c r="F800" s="61" t="s">
        <v>620</v>
      </c>
    </row>
    <row r="801" customFormat="false" ht="15" hidden="false" customHeight="false" outlineLevel="0" collapsed="false">
      <c r="A801" s="92" t="str">
        <f aca="false">Gov_Map!$H45&amp;""</f>
        <v>—</v>
      </c>
      <c r="B801" s="73" t="s">
        <v>8482</v>
      </c>
      <c r="C801" s="60" t="n">
        <v>45</v>
      </c>
      <c r="D801" s="60" t="s">
        <v>8483</v>
      </c>
      <c r="E801" s="60" t="s">
        <v>8483</v>
      </c>
      <c r="F801" s="61" t="s">
        <v>620</v>
      </c>
    </row>
    <row r="802" customFormat="false" ht="15" hidden="false" customHeight="false" outlineLevel="0" collapsed="false">
      <c r="A802" s="92" t="str">
        <f aca="false">Gov_Map!$H46&amp;""</f>
        <v>—</v>
      </c>
      <c r="B802" s="73" t="s">
        <v>8482</v>
      </c>
      <c r="C802" s="60" t="n">
        <v>46</v>
      </c>
      <c r="D802" s="60" t="s">
        <v>8483</v>
      </c>
      <c r="E802" s="60" t="s">
        <v>8483</v>
      </c>
      <c r="F802" s="61" t="s">
        <v>620</v>
      </c>
    </row>
    <row r="803" customFormat="false" ht="15" hidden="false" customHeight="false" outlineLevel="0" collapsed="false">
      <c r="A803" s="92" t="str">
        <f aca="false">Gov_Map!$H47&amp;""</f>
        <v>—</v>
      </c>
      <c r="B803" s="73" t="s">
        <v>8482</v>
      </c>
      <c r="C803" s="60" t="n">
        <v>47</v>
      </c>
      <c r="D803" s="60" t="s">
        <v>8483</v>
      </c>
      <c r="E803" s="60" t="s">
        <v>8483</v>
      </c>
      <c r="F803" s="61" t="s">
        <v>620</v>
      </c>
    </row>
    <row r="804" customFormat="false" ht="15" hidden="false" customHeight="false" outlineLevel="0" collapsed="false">
      <c r="A804" s="92" t="str">
        <f aca="false">Gov_Map!$H48&amp;""</f>
        <v>—</v>
      </c>
      <c r="B804" s="73" t="s">
        <v>8482</v>
      </c>
      <c r="C804" s="60" t="n">
        <v>48</v>
      </c>
      <c r="D804" s="60" t="s">
        <v>8483</v>
      </c>
      <c r="E804" s="60" t="s">
        <v>8483</v>
      </c>
      <c r="F804" s="61" t="s">
        <v>620</v>
      </c>
    </row>
    <row r="805" customFormat="false" ht="15" hidden="false" customHeight="false" outlineLevel="0" collapsed="false">
      <c r="A805" s="92" t="str">
        <f aca="false">Gov_Map!$H49&amp;""</f>
        <v>—</v>
      </c>
      <c r="B805" s="73" t="s">
        <v>8482</v>
      </c>
      <c r="C805" s="60" t="n">
        <v>49</v>
      </c>
      <c r="D805" s="60" t="s">
        <v>8483</v>
      </c>
      <c r="E805" s="60" t="s">
        <v>8483</v>
      </c>
      <c r="F805" s="61" t="s">
        <v>620</v>
      </c>
    </row>
    <row r="806" customFormat="false" ht="15" hidden="false" customHeight="false" outlineLevel="0" collapsed="false">
      <c r="A806" s="92" t="str">
        <f aca="false">Gov_Map!$H50&amp;""</f>
        <v>—</v>
      </c>
      <c r="B806" s="73" t="s">
        <v>8482</v>
      </c>
      <c r="C806" s="60" t="n">
        <v>50</v>
      </c>
      <c r="D806" s="60" t="s">
        <v>8483</v>
      </c>
      <c r="E806" s="60" t="s">
        <v>8483</v>
      </c>
      <c r="F806" s="61" t="s">
        <v>620</v>
      </c>
    </row>
    <row r="807" customFormat="false" ht="15" hidden="false" customHeight="false" outlineLevel="0" collapsed="false">
      <c r="A807" s="92" t="str">
        <f aca="false">Gov_Map!$H51&amp;""</f>
        <v>—</v>
      </c>
      <c r="B807" s="73" t="s">
        <v>8482</v>
      </c>
      <c r="C807" s="60" t="n">
        <v>51</v>
      </c>
      <c r="D807" s="60" t="s">
        <v>8483</v>
      </c>
      <c r="E807" s="60" t="s">
        <v>8483</v>
      </c>
      <c r="F807" s="61" t="s">
        <v>620</v>
      </c>
    </row>
    <row r="808" customFormat="false" ht="15" hidden="false" customHeight="false" outlineLevel="0" collapsed="false">
      <c r="A808" s="92" t="str">
        <f aca="false">Gov_Map!$H52&amp;""</f>
        <v>—</v>
      </c>
      <c r="B808" s="73" t="s">
        <v>8482</v>
      </c>
      <c r="C808" s="60" t="n">
        <v>52</v>
      </c>
      <c r="D808" s="60" t="s">
        <v>8483</v>
      </c>
      <c r="E808" s="60" t="s">
        <v>8483</v>
      </c>
      <c r="F808" s="61" t="s">
        <v>620</v>
      </c>
    </row>
    <row r="809" customFormat="false" ht="15" hidden="false" customHeight="false" outlineLevel="0" collapsed="false">
      <c r="A809" s="92" t="str">
        <f aca="false">Gov_Map!$H53&amp;""</f>
        <v>—</v>
      </c>
      <c r="B809" s="73" t="s">
        <v>8482</v>
      </c>
      <c r="C809" s="60" t="n">
        <v>53</v>
      </c>
      <c r="D809" s="60" t="s">
        <v>8483</v>
      </c>
      <c r="E809" s="60" t="s">
        <v>8483</v>
      </c>
      <c r="F809" s="61" t="s">
        <v>620</v>
      </c>
    </row>
    <row r="810" customFormat="false" ht="15" hidden="false" customHeight="false" outlineLevel="0" collapsed="false">
      <c r="A810" s="92" t="str">
        <f aca="false">Gov_Map!$H54&amp;""</f>
        <v>—</v>
      </c>
      <c r="B810" s="73" t="s">
        <v>8482</v>
      </c>
      <c r="C810" s="60" t="n">
        <v>54</v>
      </c>
      <c r="D810" s="60" t="s">
        <v>8483</v>
      </c>
      <c r="E810" s="60" t="s">
        <v>8483</v>
      </c>
      <c r="F810" s="61" t="s">
        <v>620</v>
      </c>
    </row>
    <row r="811" customFormat="false" ht="15" hidden="false" customHeight="false" outlineLevel="0" collapsed="false">
      <c r="A811" s="92" t="str">
        <f aca="false">Gov_Map!$H55&amp;""</f>
        <v>—</v>
      </c>
      <c r="B811" s="73" t="s">
        <v>8482</v>
      </c>
      <c r="C811" s="60" t="n">
        <v>55</v>
      </c>
      <c r="D811" s="60" t="s">
        <v>8483</v>
      </c>
      <c r="E811" s="60" t="s">
        <v>8483</v>
      </c>
      <c r="F811" s="61" t="s">
        <v>620</v>
      </c>
    </row>
    <row r="812" customFormat="false" ht="15" hidden="false" customHeight="false" outlineLevel="0" collapsed="false">
      <c r="A812" s="92" t="str">
        <f aca="false">Gov_Map!$H56&amp;""</f>
        <v>—</v>
      </c>
      <c r="B812" s="73" t="s">
        <v>8482</v>
      </c>
      <c r="C812" s="60" t="n">
        <v>56</v>
      </c>
      <c r="D812" s="60" t="s">
        <v>8483</v>
      </c>
      <c r="E812" s="60" t="s">
        <v>8483</v>
      </c>
      <c r="F812" s="61" t="s">
        <v>620</v>
      </c>
    </row>
    <row r="813" customFormat="false" ht="15" hidden="false" customHeight="false" outlineLevel="0" collapsed="false">
      <c r="A813" s="92" t="str">
        <f aca="false">Gov_Map!$H57&amp;""</f>
        <v>—</v>
      </c>
      <c r="B813" s="73" t="s">
        <v>8482</v>
      </c>
      <c r="C813" s="60" t="n">
        <v>57</v>
      </c>
      <c r="D813" s="60" t="s">
        <v>8483</v>
      </c>
      <c r="E813" s="60" t="s">
        <v>8483</v>
      </c>
      <c r="F813" s="61" t="s">
        <v>620</v>
      </c>
    </row>
    <row r="814" customFormat="false" ht="15" hidden="false" customHeight="false" outlineLevel="0" collapsed="false">
      <c r="A814" s="92" t="str">
        <f aca="false">Gov_Map!$H58&amp;""</f>
        <v>—</v>
      </c>
      <c r="B814" s="73" t="s">
        <v>8482</v>
      </c>
      <c r="C814" s="60" t="n">
        <v>58</v>
      </c>
      <c r="D814" s="60" t="s">
        <v>8483</v>
      </c>
      <c r="E814" s="60" t="s">
        <v>8483</v>
      </c>
      <c r="F814" s="61" t="s">
        <v>620</v>
      </c>
    </row>
    <row r="815" customFormat="false" ht="15" hidden="false" customHeight="false" outlineLevel="0" collapsed="false">
      <c r="A815" s="92" t="str">
        <f aca="false">Gov_Map!$H59&amp;""</f>
        <v>—</v>
      </c>
      <c r="B815" s="73" t="s">
        <v>8482</v>
      </c>
      <c r="C815" s="60" t="n">
        <v>59</v>
      </c>
      <c r="D815" s="60" t="s">
        <v>8483</v>
      </c>
      <c r="E815" s="60" t="s">
        <v>8483</v>
      </c>
      <c r="F815" s="61" t="s">
        <v>620</v>
      </c>
    </row>
    <row r="816" customFormat="false" ht="15" hidden="false" customHeight="false" outlineLevel="0" collapsed="false">
      <c r="A816" s="92" t="str">
        <f aca="false">Gov_Map!$H60&amp;""</f>
        <v>—</v>
      </c>
      <c r="B816" s="73" t="s">
        <v>8482</v>
      </c>
      <c r="C816" s="60" t="n">
        <v>60</v>
      </c>
      <c r="D816" s="60" t="s">
        <v>8483</v>
      </c>
      <c r="E816" s="60" t="s">
        <v>8483</v>
      </c>
      <c r="F816" s="61" t="s">
        <v>620</v>
      </c>
    </row>
    <row r="817" customFormat="false" ht="15" hidden="false" customHeight="false" outlineLevel="0" collapsed="false">
      <c r="A817" s="92" t="str">
        <f aca="false">Gov_Map!$H61&amp;""</f>
        <v>—</v>
      </c>
      <c r="B817" s="73" t="s">
        <v>8482</v>
      </c>
      <c r="C817" s="60" t="n">
        <v>61</v>
      </c>
      <c r="D817" s="60" t="s">
        <v>8483</v>
      </c>
      <c r="E817" s="60" t="s">
        <v>8483</v>
      </c>
      <c r="F817" s="61" t="s">
        <v>620</v>
      </c>
    </row>
    <row r="818" customFormat="false" ht="15" hidden="false" customHeight="false" outlineLevel="0" collapsed="false">
      <c r="A818" s="92" t="str">
        <f aca="false">Gov_Map!$H62&amp;""</f>
        <v>SRC_DC_007</v>
      </c>
      <c r="B818" s="73" t="s">
        <v>8482</v>
      </c>
      <c r="C818" s="60" t="n">
        <v>62</v>
      </c>
      <c r="D818" s="60" t="s">
        <v>8483</v>
      </c>
      <c r="E818" s="60" t="s">
        <v>8483</v>
      </c>
      <c r="F818" s="61" t="s">
        <v>620</v>
      </c>
    </row>
    <row r="819" customFormat="false" ht="15" hidden="false" customHeight="false" outlineLevel="0" collapsed="false">
      <c r="A819" s="92" t="str">
        <f aca="false">Gov_Map!$H63&amp;""</f>
        <v>SRC_DC_007</v>
      </c>
      <c r="B819" s="73" t="s">
        <v>8482</v>
      </c>
      <c r="C819" s="60" t="n">
        <v>63</v>
      </c>
      <c r="D819" s="60" t="s">
        <v>8483</v>
      </c>
      <c r="E819" s="60" t="s">
        <v>8483</v>
      </c>
      <c r="F819" s="61" t="s">
        <v>620</v>
      </c>
    </row>
    <row r="820" customFormat="false" ht="15" hidden="false" customHeight="false" outlineLevel="0" collapsed="false">
      <c r="A820" s="92" t="str">
        <f aca="false">Gov_Map!$H64&amp;""</f>
        <v>SRC_DC_008</v>
      </c>
      <c r="B820" s="73" t="s">
        <v>8482</v>
      </c>
      <c r="C820" s="60" t="n">
        <v>64</v>
      </c>
      <c r="D820" s="60" t="s">
        <v>8483</v>
      </c>
      <c r="E820" s="60" t="s">
        <v>8483</v>
      </c>
      <c r="F820" s="61" t="s">
        <v>620</v>
      </c>
    </row>
    <row r="821" customFormat="false" ht="15" hidden="false" customHeight="false" outlineLevel="0" collapsed="false">
      <c r="A821" s="92" t="str">
        <f aca="false">Gov_Map!$H65&amp;""</f>
        <v>—</v>
      </c>
      <c r="B821" s="73" t="s">
        <v>8482</v>
      </c>
      <c r="C821" s="60" t="n">
        <v>65</v>
      </c>
      <c r="D821" s="60" t="s">
        <v>8483</v>
      </c>
      <c r="E821" s="60" t="s">
        <v>8483</v>
      </c>
      <c r="F821" s="61" t="s">
        <v>620</v>
      </c>
    </row>
    <row r="822" customFormat="false" ht="15" hidden="false" customHeight="false" outlineLevel="0" collapsed="false">
      <c r="A822" s="92" t="str">
        <f aca="false">Gov_Map!$H66&amp;""</f>
        <v>—</v>
      </c>
      <c r="B822" s="73" t="s">
        <v>8482</v>
      </c>
      <c r="C822" s="60" t="n">
        <v>66</v>
      </c>
      <c r="D822" s="60" t="s">
        <v>8483</v>
      </c>
      <c r="E822" s="60" t="s">
        <v>8483</v>
      </c>
      <c r="F822" s="61" t="s">
        <v>620</v>
      </c>
    </row>
    <row r="823" customFormat="false" ht="15" hidden="false" customHeight="false" outlineLevel="0" collapsed="false">
      <c r="A823" s="92" t="str">
        <f aca="false">Gov_Map!$H67&amp;""</f>
        <v>—</v>
      </c>
      <c r="B823" s="73" t="s">
        <v>8482</v>
      </c>
      <c r="C823" s="60" t="n">
        <v>67</v>
      </c>
      <c r="D823" s="60" t="s">
        <v>8483</v>
      </c>
      <c r="E823" s="60" t="s">
        <v>8483</v>
      </c>
      <c r="F823" s="61" t="s">
        <v>620</v>
      </c>
    </row>
    <row r="824" customFormat="false" ht="15" hidden="false" customHeight="false" outlineLevel="0" collapsed="false">
      <c r="A824" s="92" t="str">
        <f aca="false">Gov_Map!$H68&amp;""</f>
        <v>—</v>
      </c>
      <c r="B824" s="73" t="s">
        <v>8482</v>
      </c>
      <c r="C824" s="60" t="n">
        <v>68</v>
      </c>
      <c r="D824" s="60" t="s">
        <v>8483</v>
      </c>
      <c r="E824" s="60" t="s">
        <v>8483</v>
      </c>
      <c r="F824" s="61" t="s">
        <v>620</v>
      </c>
    </row>
    <row r="825" customFormat="false" ht="15" hidden="false" customHeight="false" outlineLevel="0" collapsed="false">
      <c r="A825" s="92" t="str">
        <f aca="false">Gov_Map!$H69&amp;""</f>
        <v>—</v>
      </c>
      <c r="B825" s="73" t="s">
        <v>8482</v>
      </c>
      <c r="C825" s="60" t="n">
        <v>69</v>
      </c>
      <c r="D825" s="60" t="s">
        <v>8483</v>
      </c>
      <c r="E825" s="60" t="s">
        <v>8483</v>
      </c>
      <c r="F825" s="61" t="s">
        <v>620</v>
      </c>
    </row>
    <row r="826" customFormat="false" ht="15" hidden="false" customHeight="false" outlineLevel="0" collapsed="false">
      <c r="A826" s="92" t="str">
        <f aca="false">Gov_Map!$H70&amp;""</f>
        <v>SRC_HW_047</v>
      </c>
      <c r="B826" s="73" t="s">
        <v>8482</v>
      </c>
      <c r="C826" s="60" t="n">
        <v>70</v>
      </c>
      <c r="D826" s="60" t="s">
        <v>8483</v>
      </c>
      <c r="E826" s="60" t="s">
        <v>8483</v>
      </c>
      <c r="F826" s="61" t="s">
        <v>620</v>
      </c>
    </row>
    <row r="827" customFormat="false" ht="15" hidden="false" customHeight="false" outlineLevel="0" collapsed="false">
      <c r="A827" s="92" t="str">
        <f aca="false">Gov_Map!$H71&amp;""</f>
        <v>SRC_HW_047</v>
      </c>
      <c r="B827" s="73" t="s">
        <v>8482</v>
      </c>
      <c r="C827" s="60" t="n">
        <v>71</v>
      </c>
      <c r="D827" s="60" t="s">
        <v>8483</v>
      </c>
      <c r="E827" s="60" t="s">
        <v>8483</v>
      </c>
      <c r="F827" s="61" t="s">
        <v>620</v>
      </c>
    </row>
    <row r="828" customFormat="false" ht="15" hidden="false" customHeight="false" outlineLevel="0" collapsed="false">
      <c r="A828" s="92" t="str">
        <f aca="false">Gov_Map!$H72&amp;""</f>
        <v>SRC_HW_047</v>
      </c>
      <c r="B828" s="73" t="s">
        <v>8482</v>
      </c>
      <c r="C828" s="60" t="n">
        <v>72</v>
      </c>
      <c r="D828" s="60" t="s">
        <v>8483</v>
      </c>
      <c r="E828" s="60" t="s">
        <v>8483</v>
      </c>
      <c r="F828" s="61" t="s">
        <v>620</v>
      </c>
    </row>
    <row r="829" customFormat="false" ht="15" hidden="false" customHeight="false" outlineLevel="0" collapsed="false">
      <c r="A829" s="92" t="str">
        <f aca="false">Gov_Map!$H73&amp;""</f>
        <v>SRC_HW_061</v>
      </c>
      <c r="B829" s="73" t="s">
        <v>8482</v>
      </c>
      <c r="C829" s="60" t="n">
        <v>73</v>
      </c>
      <c r="D829" s="60" t="s">
        <v>8483</v>
      </c>
      <c r="E829" s="60" t="s">
        <v>8483</v>
      </c>
      <c r="F829" s="61" t="s">
        <v>620</v>
      </c>
    </row>
    <row r="830" customFormat="false" ht="15" hidden="false" customHeight="false" outlineLevel="0" collapsed="false">
      <c r="A830" s="92" t="str">
        <f aca="false">Gov_Map!$H74&amp;""</f>
        <v>—</v>
      </c>
      <c r="B830" s="73" t="s">
        <v>8482</v>
      </c>
      <c r="C830" s="60" t="n">
        <v>74</v>
      </c>
      <c r="D830" s="60" t="s">
        <v>8483</v>
      </c>
      <c r="E830" s="60" t="s">
        <v>8483</v>
      </c>
      <c r="F830" s="61" t="s">
        <v>620</v>
      </c>
    </row>
    <row r="831" customFormat="false" ht="15" hidden="false" customHeight="false" outlineLevel="0" collapsed="false">
      <c r="A831" s="92" t="str">
        <f aca="false">Gov_Map!$H75&amp;""</f>
        <v>SRC_HW_004</v>
      </c>
      <c r="B831" s="73" t="s">
        <v>8482</v>
      </c>
      <c r="C831" s="60" t="n">
        <v>75</v>
      </c>
      <c r="D831" s="60" t="s">
        <v>8483</v>
      </c>
      <c r="E831" s="60" t="s">
        <v>8483</v>
      </c>
      <c r="F831" s="61" t="s">
        <v>620</v>
      </c>
    </row>
    <row r="832" customFormat="false" ht="15" hidden="false" customHeight="false" outlineLevel="0" collapsed="false">
      <c r="A832" s="92" t="str">
        <f aca="false">Gov_Map!$H76&amp;""</f>
        <v>SRC_HW_005</v>
      </c>
      <c r="B832" s="73" t="s">
        <v>8482</v>
      </c>
      <c r="C832" s="60" t="n">
        <v>76</v>
      </c>
      <c r="D832" s="60" t="s">
        <v>8483</v>
      </c>
      <c r="E832" s="60" t="s">
        <v>8483</v>
      </c>
      <c r="F832" s="61" t="s">
        <v>620</v>
      </c>
    </row>
    <row r="833" customFormat="false" ht="15" hidden="false" customHeight="false" outlineLevel="0" collapsed="false">
      <c r="A833" s="92" t="str">
        <f aca="false">Gov_Map!$H77&amp;""</f>
        <v>SRC_HW_011</v>
      </c>
      <c r="B833" s="73" t="s">
        <v>8482</v>
      </c>
      <c r="C833" s="60" t="n">
        <v>77</v>
      </c>
      <c r="D833" s="60" t="s">
        <v>8483</v>
      </c>
      <c r="E833" s="60" t="s">
        <v>8483</v>
      </c>
      <c r="F833" s="61" t="s">
        <v>620</v>
      </c>
    </row>
    <row r="834" customFormat="false" ht="15" hidden="false" customHeight="false" outlineLevel="0" collapsed="false">
      <c r="A834" s="92" t="str">
        <f aca="false">Gov_Map!$H78&amp;""</f>
        <v>—</v>
      </c>
      <c r="B834" s="73" t="s">
        <v>8482</v>
      </c>
      <c r="C834" s="60" t="n">
        <v>78</v>
      </c>
      <c r="D834" s="60" t="s">
        <v>8483</v>
      </c>
      <c r="E834" s="60" t="s">
        <v>8483</v>
      </c>
      <c r="F834" s="61" t="s">
        <v>620</v>
      </c>
    </row>
    <row r="835" customFormat="false" ht="15" hidden="false" customHeight="false" outlineLevel="0" collapsed="false">
      <c r="A835" s="92" t="str">
        <f aca="false">Gov_Map!$H79&amp;""</f>
        <v>SRC_HW_001</v>
      </c>
      <c r="B835" s="73" t="s">
        <v>8482</v>
      </c>
      <c r="C835" s="60" t="n">
        <v>79</v>
      </c>
      <c r="D835" s="60" t="s">
        <v>8483</v>
      </c>
      <c r="E835" s="60" t="s">
        <v>8483</v>
      </c>
      <c r="F835" s="61" t="s">
        <v>620</v>
      </c>
    </row>
    <row r="836" customFormat="false" ht="15" hidden="false" customHeight="false" outlineLevel="0" collapsed="false">
      <c r="A836" s="92" t="str">
        <f aca="false">Gov_Map!$H80&amp;""</f>
        <v>SRC_HW_004</v>
      </c>
      <c r="B836" s="73" t="s">
        <v>8482</v>
      </c>
      <c r="C836" s="60" t="n">
        <v>80</v>
      </c>
      <c r="D836" s="60" t="s">
        <v>8483</v>
      </c>
      <c r="E836" s="60" t="s">
        <v>8483</v>
      </c>
      <c r="F836" s="61" t="s">
        <v>620</v>
      </c>
    </row>
    <row r="837" customFormat="false" ht="15" hidden="false" customHeight="false" outlineLevel="0" collapsed="false">
      <c r="A837" s="92" t="str">
        <f aca="false">Gov_Map!$H81&amp;""</f>
        <v>SRC_HW_005</v>
      </c>
      <c r="B837" s="73" t="s">
        <v>8482</v>
      </c>
      <c r="C837" s="60" t="n">
        <v>81</v>
      </c>
      <c r="D837" s="60" t="s">
        <v>8483</v>
      </c>
      <c r="E837" s="60" t="s">
        <v>8483</v>
      </c>
      <c r="F837" s="61" t="s">
        <v>620</v>
      </c>
    </row>
    <row r="838" customFormat="false" ht="15" hidden="false" customHeight="false" outlineLevel="0" collapsed="false">
      <c r="A838" s="92" t="str">
        <f aca="false">Gov_Map!$H82&amp;""</f>
        <v>SRC_HW_014</v>
      </c>
      <c r="B838" s="73" t="s">
        <v>8482</v>
      </c>
      <c r="C838" s="60" t="n">
        <v>82</v>
      </c>
      <c r="D838" s="60" t="s">
        <v>8483</v>
      </c>
      <c r="E838" s="60" t="s">
        <v>8483</v>
      </c>
      <c r="F838" s="61" t="s">
        <v>620</v>
      </c>
    </row>
    <row r="839" customFormat="false" ht="15" hidden="false" customHeight="false" outlineLevel="0" collapsed="false">
      <c r="A839" s="92" t="str">
        <f aca="false">Gov_Map!$H83&amp;""</f>
        <v>—</v>
      </c>
      <c r="B839" s="73" t="s">
        <v>8482</v>
      </c>
      <c r="C839" s="60" t="n">
        <v>83</v>
      </c>
      <c r="D839" s="60" t="s">
        <v>8483</v>
      </c>
      <c r="E839" s="60" t="s">
        <v>8483</v>
      </c>
      <c r="F839" s="61" t="s">
        <v>620</v>
      </c>
    </row>
    <row r="840" customFormat="false" ht="15" hidden="false" customHeight="false" outlineLevel="0" collapsed="false">
      <c r="A840" s="92" t="str">
        <f aca="false">Gov_Map!$H84&amp;""</f>
        <v>—</v>
      </c>
      <c r="B840" s="73" t="s">
        <v>8482</v>
      </c>
      <c r="C840" s="60" t="n">
        <v>84</v>
      </c>
      <c r="D840" s="60" t="s">
        <v>8483</v>
      </c>
      <c r="E840" s="60" t="s">
        <v>8483</v>
      </c>
      <c r="F840" s="61" t="s">
        <v>620</v>
      </c>
    </row>
    <row r="841" customFormat="false" ht="15" hidden="false" customHeight="false" outlineLevel="0" collapsed="false">
      <c r="A841" s="92" t="str">
        <f aca="false">Gov_Map!$H85&amp;""</f>
        <v>—</v>
      </c>
      <c r="B841" s="73" t="s">
        <v>8482</v>
      </c>
      <c r="C841" s="60" t="n">
        <v>85</v>
      </c>
      <c r="D841" s="60" t="s">
        <v>8483</v>
      </c>
      <c r="E841" s="60" t="s">
        <v>8483</v>
      </c>
      <c r="F841" s="61" t="s">
        <v>620</v>
      </c>
    </row>
    <row r="842" customFormat="false" ht="15" hidden="false" customHeight="false" outlineLevel="0" collapsed="false">
      <c r="A842" s="92" t="str">
        <f aca="false">Gov_Map!$H86&amp;""</f>
        <v>SRC_HW_005</v>
      </c>
      <c r="B842" s="73" t="s">
        <v>8482</v>
      </c>
      <c r="C842" s="60" t="n">
        <v>86</v>
      </c>
      <c r="D842" s="60" t="s">
        <v>8483</v>
      </c>
      <c r="E842" s="60" t="s">
        <v>8483</v>
      </c>
      <c r="F842" s="61" t="s">
        <v>620</v>
      </c>
    </row>
    <row r="843" customFormat="false" ht="15" hidden="false" customHeight="false" outlineLevel="0" collapsed="false">
      <c r="A843" s="92" t="str">
        <f aca="false">Gov_Map!$H87&amp;""</f>
        <v>SRC_HW_012</v>
      </c>
      <c r="B843" s="73" t="s">
        <v>8482</v>
      </c>
      <c r="C843" s="60" t="n">
        <v>87</v>
      </c>
      <c r="D843" s="60" t="s">
        <v>8483</v>
      </c>
      <c r="E843" s="60" t="s">
        <v>8483</v>
      </c>
      <c r="F843" s="61" t="s">
        <v>620</v>
      </c>
    </row>
    <row r="844" customFormat="false" ht="15" hidden="false" customHeight="false" outlineLevel="0" collapsed="false">
      <c r="A844" s="92" t="str">
        <f aca="false">Gov_Map!$H88&amp;""</f>
        <v>—</v>
      </c>
      <c r="B844" s="73" t="s">
        <v>8482</v>
      </c>
      <c r="C844" s="60" t="n">
        <v>88</v>
      </c>
      <c r="D844" s="60" t="s">
        <v>8483</v>
      </c>
      <c r="E844" s="60" t="s">
        <v>8483</v>
      </c>
      <c r="F844" s="61" t="s">
        <v>620</v>
      </c>
    </row>
    <row r="845" customFormat="false" ht="15" hidden="false" customHeight="false" outlineLevel="0" collapsed="false">
      <c r="A845" s="92" t="str">
        <f aca="false">Gov_Map!$H89&amp;""</f>
        <v>SRC_HW_003</v>
      </c>
      <c r="B845" s="73" t="s">
        <v>8482</v>
      </c>
      <c r="C845" s="60" t="n">
        <v>89</v>
      </c>
      <c r="D845" s="60" t="s">
        <v>8483</v>
      </c>
      <c r="E845" s="60" t="s">
        <v>8483</v>
      </c>
      <c r="F845" s="61" t="s">
        <v>620</v>
      </c>
    </row>
    <row r="846" customFormat="false" ht="15" hidden="false" customHeight="false" outlineLevel="0" collapsed="false">
      <c r="A846" s="92" t="str">
        <f aca="false">Gov_Map!$H90&amp;""</f>
        <v>SRC_HW_006</v>
      </c>
      <c r="B846" s="73" t="s">
        <v>8482</v>
      </c>
      <c r="C846" s="60" t="n">
        <v>90</v>
      </c>
      <c r="D846" s="60" t="s">
        <v>8483</v>
      </c>
      <c r="E846" s="60" t="s">
        <v>8483</v>
      </c>
      <c r="F846" s="61" t="s">
        <v>620</v>
      </c>
    </row>
    <row r="847" customFormat="false" ht="15" hidden="false" customHeight="false" outlineLevel="0" collapsed="false">
      <c r="A847" s="92" t="str">
        <f aca="false">Gov_Map!$H91&amp;""</f>
        <v>SRC_HW_052</v>
      </c>
      <c r="B847" s="73" t="s">
        <v>8482</v>
      </c>
      <c r="C847" s="60" t="n">
        <v>91</v>
      </c>
      <c r="D847" s="60" t="s">
        <v>8483</v>
      </c>
      <c r="E847" s="60" t="s">
        <v>8483</v>
      </c>
      <c r="F847" s="61" t="s">
        <v>620</v>
      </c>
    </row>
    <row r="848" customFormat="false" ht="15" hidden="false" customHeight="false" outlineLevel="0" collapsed="false">
      <c r="A848" s="92" t="str">
        <f aca="false">Gov_Map!$H92&amp;""</f>
        <v>SRC_HW_015</v>
      </c>
      <c r="B848" s="73" t="s">
        <v>8482</v>
      </c>
      <c r="C848" s="60" t="n">
        <v>92</v>
      </c>
      <c r="D848" s="60" t="s">
        <v>8483</v>
      </c>
      <c r="E848" s="60" t="s">
        <v>8483</v>
      </c>
      <c r="F848" s="61" t="s">
        <v>620</v>
      </c>
    </row>
    <row r="849" customFormat="false" ht="15" hidden="false" customHeight="false" outlineLevel="0" collapsed="false">
      <c r="A849" s="92" t="str">
        <f aca="false">Gov_Map!$H93&amp;""</f>
        <v>—</v>
      </c>
      <c r="B849" s="73" t="s">
        <v>8482</v>
      </c>
      <c r="C849" s="60" t="n">
        <v>93</v>
      </c>
      <c r="D849" s="60" t="s">
        <v>8483</v>
      </c>
      <c r="E849" s="60" t="s">
        <v>8483</v>
      </c>
      <c r="F849" s="61" t="s">
        <v>620</v>
      </c>
    </row>
    <row r="850" customFormat="false" ht="15" hidden="false" customHeight="false" outlineLevel="0" collapsed="false">
      <c r="A850" s="92" t="str">
        <f aca="false">Gov_Map!$H94&amp;""</f>
        <v>SRC_HW_003</v>
      </c>
      <c r="B850" s="73" t="s">
        <v>8482</v>
      </c>
      <c r="C850" s="60" t="n">
        <v>94</v>
      </c>
      <c r="D850" s="60" t="s">
        <v>8483</v>
      </c>
      <c r="E850" s="60" t="s">
        <v>8483</v>
      </c>
      <c r="F850" s="61" t="s">
        <v>620</v>
      </c>
    </row>
    <row r="851" customFormat="false" ht="15" hidden="false" customHeight="false" outlineLevel="0" collapsed="false">
      <c r="A851" s="92" t="str">
        <f aca="false">Gov_Map!$H95&amp;""</f>
        <v>SRC_HW_006</v>
      </c>
      <c r="B851" s="73" t="s">
        <v>8482</v>
      </c>
      <c r="C851" s="60" t="n">
        <v>95</v>
      </c>
      <c r="D851" s="60" t="s">
        <v>8483</v>
      </c>
      <c r="E851" s="60" t="s">
        <v>8483</v>
      </c>
      <c r="F851" s="61" t="s">
        <v>620</v>
      </c>
    </row>
    <row r="852" customFormat="false" ht="15" hidden="false" customHeight="false" outlineLevel="0" collapsed="false">
      <c r="A852" s="92" t="str">
        <f aca="false">Gov_Map!$H96&amp;""</f>
        <v>SRC_HW_052</v>
      </c>
      <c r="B852" s="73" t="s">
        <v>8482</v>
      </c>
      <c r="C852" s="60" t="n">
        <v>96</v>
      </c>
      <c r="D852" s="60" t="s">
        <v>8483</v>
      </c>
      <c r="E852" s="60" t="s">
        <v>8483</v>
      </c>
      <c r="F852" s="61" t="s">
        <v>620</v>
      </c>
    </row>
    <row r="853" customFormat="false" ht="15" hidden="false" customHeight="false" outlineLevel="0" collapsed="false">
      <c r="A853" s="92" t="str">
        <f aca="false">Gov_Map!$H97&amp;""</f>
        <v>SRC_HW_015</v>
      </c>
      <c r="B853" s="73" t="s">
        <v>8482</v>
      </c>
      <c r="C853" s="60" t="n">
        <v>97</v>
      </c>
      <c r="D853" s="60" t="s">
        <v>8483</v>
      </c>
      <c r="E853" s="60" t="s">
        <v>8483</v>
      </c>
      <c r="F853" s="61" t="s">
        <v>620</v>
      </c>
    </row>
    <row r="854" customFormat="false" ht="15" hidden="false" customHeight="false" outlineLevel="0" collapsed="false">
      <c r="A854" s="92" t="str">
        <f aca="false">Gov_Map!$H98&amp;""</f>
        <v>—</v>
      </c>
      <c r="B854" s="73" t="s">
        <v>8482</v>
      </c>
      <c r="C854" s="60" t="n">
        <v>98</v>
      </c>
      <c r="D854" s="60" t="s">
        <v>8483</v>
      </c>
      <c r="E854" s="60" t="s">
        <v>8483</v>
      </c>
      <c r="F854" s="61" t="s">
        <v>620</v>
      </c>
    </row>
    <row r="855" customFormat="false" ht="15" hidden="false" customHeight="false" outlineLevel="0" collapsed="false">
      <c r="A855" s="92" t="str">
        <f aca="false">Gov_Map!$H99&amp;""</f>
        <v>SRC_HW_003</v>
      </c>
      <c r="B855" s="73" t="s">
        <v>8482</v>
      </c>
      <c r="C855" s="60" t="n">
        <v>99</v>
      </c>
      <c r="D855" s="60" t="s">
        <v>8483</v>
      </c>
      <c r="E855" s="60" t="s">
        <v>8483</v>
      </c>
      <c r="F855" s="61" t="s">
        <v>620</v>
      </c>
    </row>
    <row r="856" customFormat="false" ht="15" hidden="false" customHeight="false" outlineLevel="0" collapsed="false">
      <c r="A856" s="92" t="str">
        <f aca="false">Gov_Map!$H100&amp;""</f>
        <v>SRC_HW_006</v>
      </c>
      <c r="B856" s="73" t="s">
        <v>8482</v>
      </c>
      <c r="C856" s="60" t="n">
        <v>100</v>
      </c>
      <c r="D856" s="60" t="s">
        <v>8483</v>
      </c>
      <c r="E856" s="60" t="s">
        <v>8483</v>
      </c>
      <c r="F856" s="61" t="s">
        <v>620</v>
      </c>
    </row>
    <row r="857" customFormat="false" ht="15" hidden="false" customHeight="false" outlineLevel="0" collapsed="false">
      <c r="A857" s="92" t="str">
        <f aca="false">Gov_Map!$H101&amp;""</f>
        <v>SRC_HW_010</v>
      </c>
      <c r="B857" s="73" t="s">
        <v>8482</v>
      </c>
      <c r="C857" s="60" t="n">
        <v>101</v>
      </c>
      <c r="D857" s="60" t="s">
        <v>8483</v>
      </c>
      <c r="E857" s="60" t="s">
        <v>8483</v>
      </c>
      <c r="F857" s="61" t="s">
        <v>620</v>
      </c>
    </row>
    <row r="858" customFormat="false" ht="15" hidden="false" customHeight="false" outlineLevel="0" collapsed="false">
      <c r="A858" s="92" t="str">
        <f aca="false">Gov_Map!$H102&amp;""</f>
        <v>SRC_HW_017</v>
      </c>
      <c r="B858" s="73" t="s">
        <v>8482</v>
      </c>
      <c r="C858" s="60" t="n">
        <v>102</v>
      </c>
      <c r="D858" s="60" t="s">
        <v>8483</v>
      </c>
      <c r="E858" s="60" t="s">
        <v>8483</v>
      </c>
      <c r="F858" s="61" t="s">
        <v>620</v>
      </c>
    </row>
    <row r="859" customFormat="false" ht="15" hidden="false" customHeight="false" outlineLevel="0" collapsed="false">
      <c r="A859" s="92" t="str">
        <f aca="false">Gov_Map!$H103&amp;""</f>
        <v>—</v>
      </c>
      <c r="B859" s="73" t="s">
        <v>8482</v>
      </c>
      <c r="C859" s="60" t="n">
        <v>103</v>
      </c>
      <c r="D859" s="60" t="s">
        <v>8483</v>
      </c>
      <c r="E859" s="60" t="s">
        <v>8483</v>
      </c>
      <c r="F859" s="61" t="s">
        <v>620</v>
      </c>
    </row>
    <row r="860" customFormat="false" ht="15" hidden="false" customHeight="false" outlineLevel="0" collapsed="false">
      <c r="A860" s="92" t="str">
        <f aca="false">Gov_Map!$H104&amp;""</f>
        <v>SRC_HW_040</v>
      </c>
      <c r="B860" s="73" t="s">
        <v>8482</v>
      </c>
      <c r="C860" s="60" t="n">
        <v>104</v>
      </c>
      <c r="D860" s="60" t="s">
        <v>8483</v>
      </c>
      <c r="E860" s="60" t="s">
        <v>8483</v>
      </c>
      <c r="F860" s="61" t="s">
        <v>620</v>
      </c>
    </row>
    <row r="861" customFormat="false" ht="15" hidden="false" customHeight="false" outlineLevel="0" collapsed="false">
      <c r="A861" s="92" t="str">
        <f aca="false">Gov_Map!$H105&amp;""</f>
        <v>SRC_HW_022</v>
      </c>
      <c r="B861" s="73" t="s">
        <v>8482</v>
      </c>
      <c r="C861" s="60" t="n">
        <v>105</v>
      </c>
      <c r="D861" s="60" t="s">
        <v>8483</v>
      </c>
      <c r="E861" s="60" t="s">
        <v>8483</v>
      </c>
      <c r="F861" s="61" t="s">
        <v>620</v>
      </c>
    </row>
    <row r="862" customFormat="false" ht="15" hidden="false" customHeight="false" outlineLevel="0" collapsed="false">
      <c r="A862" s="92" t="str">
        <f aca="false">Gov_Map!$H106&amp;""</f>
        <v>SRC_HW_025</v>
      </c>
      <c r="B862" s="73" t="s">
        <v>8482</v>
      </c>
      <c r="C862" s="60" t="n">
        <v>106</v>
      </c>
      <c r="D862" s="60" t="s">
        <v>8483</v>
      </c>
      <c r="E862" s="60" t="s">
        <v>8483</v>
      </c>
      <c r="F862" s="61" t="s">
        <v>620</v>
      </c>
    </row>
    <row r="863" customFormat="false" ht="15" hidden="false" customHeight="false" outlineLevel="0" collapsed="false">
      <c r="A863" s="92" t="str">
        <f aca="false">Gov_Map!$H107&amp;""</f>
        <v>SRC_HW_028</v>
      </c>
      <c r="B863" s="73" t="s">
        <v>8482</v>
      </c>
      <c r="C863" s="60" t="n">
        <v>107</v>
      </c>
      <c r="D863" s="60" t="s">
        <v>8483</v>
      </c>
      <c r="E863" s="60" t="s">
        <v>8483</v>
      </c>
      <c r="F863" s="61" t="s">
        <v>620</v>
      </c>
    </row>
    <row r="864" customFormat="false" ht="15" hidden="false" customHeight="false" outlineLevel="0" collapsed="false">
      <c r="A864" s="92" t="str">
        <f aca="false">Gov_Map!$H108&amp;""</f>
        <v>SRC_HW_063</v>
      </c>
      <c r="B864" s="73" t="s">
        <v>8482</v>
      </c>
      <c r="C864" s="60" t="n">
        <v>108</v>
      </c>
      <c r="D864" s="60" t="s">
        <v>8483</v>
      </c>
      <c r="E864" s="60" t="s">
        <v>8483</v>
      </c>
      <c r="F864" s="61" t="s">
        <v>620</v>
      </c>
    </row>
    <row r="865" customFormat="false" ht="15" hidden="false" customHeight="false" outlineLevel="0" collapsed="false">
      <c r="A865" s="92" t="str">
        <f aca="false">Gov_Map!$H109&amp;""</f>
        <v>—</v>
      </c>
      <c r="B865" s="73" t="s">
        <v>8482</v>
      </c>
      <c r="C865" s="60" t="n">
        <v>109</v>
      </c>
      <c r="D865" s="60" t="s">
        <v>8483</v>
      </c>
      <c r="E865" s="60" t="s">
        <v>8483</v>
      </c>
      <c r="F865" s="61" t="s">
        <v>620</v>
      </c>
    </row>
    <row r="866" customFormat="false" ht="15" hidden="false" customHeight="false" outlineLevel="0" collapsed="false">
      <c r="A866" s="92" t="str">
        <f aca="false">Gov_Map!$H110&amp;""</f>
        <v>SRC_HW_022</v>
      </c>
      <c r="B866" s="73" t="s">
        <v>8482</v>
      </c>
      <c r="C866" s="60" t="n">
        <v>110</v>
      </c>
      <c r="D866" s="60" t="s">
        <v>8483</v>
      </c>
      <c r="E866" s="60" t="s">
        <v>8483</v>
      </c>
      <c r="F866" s="61" t="s">
        <v>620</v>
      </c>
    </row>
    <row r="867" customFormat="false" ht="15" hidden="false" customHeight="false" outlineLevel="0" collapsed="false">
      <c r="A867" s="92" t="str">
        <f aca="false">Gov_Map!$H111&amp;""</f>
        <v>SRC_HW_025</v>
      </c>
      <c r="B867" s="73" t="s">
        <v>8482</v>
      </c>
      <c r="C867" s="60" t="n">
        <v>111</v>
      </c>
      <c r="D867" s="60" t="s">
        <v>8483</v>
      </c>
      <c r="E867" s="60" t="s">
        <v>8483</v>
      </c>
      <c r="F867" s="61" t="s">
        <v>620</v>
      </c>
    </row>
    <row r="868" customFormat="false" ht="15" hidden="false" customHeight="false" outlineLevel="0" collapsed="false">
      <c r="A868" s="92" t="str">
        <f aca="false">Gov_Map!$H112&amp;""</f>
        <v>SRC_HW_027</v>
      </c>
      <c r="B868" s="73" t="s">
        <v>8482</v>
      </c>
      <c r="C868" s="60" t="n">
        <v>112</v>
      </c>
      <c r="D868" s="60" t="s">
        <v>8483</v>
      </c>
      <c r="E868" s="60" t="s">
        <v>8483</v>
      </c>
      <c r="F868" s="61" t="s">
        <v>620</v>
      </c>
    </row>
    <row r="869" customFormat="false" ht="15" hidden="false" customHeight="false" outlineLevel="0" collapsed="false">
      <c r="A869" s="92" t="str">
        <f aca="false">Gov_Map!$H113&amp;""</f>
        <v>SRC_HW_063</v>
      </c>
      <c r="B869" s="73" t="s">
        <v>8482</v>
      </c>
      <c r="C869" s="60" t="n">
        <v>113</v>
      </c>
      <c r="D869" s="60" t="s">
        <v>8483</v>
      </c>
      <c r="E869" s="60" t="s">
        <v>8483</v>
      </c>
      <c r="F869" s="61" t="s">
        <v>620</v>
      </c>
    </row>
    <row r="870" customFormat="false" ht="15" hidden="false" customHeight="false" outlineLevel="0" collapsed="false">
      <c r="A870" s="92" t="str">
        <f aca="false">Gov_Map!$H114&amp;""</f>
        <v>SRC_HW_020</v>
      </c>
      <c r="B870" s="73" t="s">
        <v>8482</v>
      </c>
      <c r="C870" s="60" t="n">
        <v>114</v>
      </c>
      <c r="D870" s="60" t="s">
        <v>8483</v>
      </c>
      <c r="E870" s="60" t="s">
        <v>8483</v>
      </c>
      <c r="F870" s="61" t="s">
        <v>620</v>
      </c>
    </row>
    <row r="871" customFormat="false" ht="15" hidden="false" customHeight="false" outlineLevel="0" collapsed="false">
      <c r="A871" s="92" t="str">
        <f aca="false">Gov_Map!$H115&amp;""</f>
        <v>SRC_HW_041</v>
      </c>
      <c r="B871" s="73" t="s">
        <v>8482</v>
      </c>
      <c r="C871" s="60" t="n">
        <v>115</v>
      </c>
      <c r="D871" s="60" t="s">
        <v>8483</v>
      </c>
      <c r="E871" s="60" t="s">
        <v>8483</v>
      </c>
      <c r="F871" s="61" t="s">
        <v>620</v>
      </c>
    </row>
    <row r="872" customFormat="false" ht="15" hidden="false" customHeight="false" outlineLevel="0" collapsed="false">
      <c r="A872" s="92" t="str">
        <f aca="false">Gov_Map!$H116&amp;""</f>
        <v>SRC_HW_026</v>
      </c>
      <c r="B872" s="73" t="s">
        <v>8482</v>
      </c>
      <c r="C872" s="60" t="n">
        <v>116</v>
      </c>
      <c r="D872" s="60" t="s">
        <v>8483</v>
      </c>
      <c r="E872" s="60" t="s">
        <v>8483</v>
      </c>
      <c r="F872" s="61" t="s">
        <v>620</v>
      </c>
    </row>
    <row r="873" customFormat="false" ht="15" hidden="false" customHeight="false" outlineLevel="0" collapsed="false">
      <c r="A873" s="92" t="str">
        <f aca="false">Gov_Map!$H117&amp;""</f>
        <v>SRC_HW_029</v>
      </c>
      <c r="B873" s="73" t="s">
        <v>8482</v>
      </c>
      <c r="C873" s="60" t="n">
        <v>117</v>
      </c>
      <c r="D873" s="60" t="s">
        <v>8483</v>
      </c>
      <c r="E873" s="60" t="s">
        <v>8483</v>
      </c>
      <c r="F873" s="61" t="s">
        <v>620</v>
      </c>
    </row>
    <row r="874" customFormat="false" ht="15" hidden="false" customHeight="false" outlineLevel="0" collapsed="false">
      <c r="A874" s="92" t="str">
        <f aca="false">Gov_Map!$H118&amp;""</f>
        <v>—</v>
      </c>
      <c r="B874" s="73" t="s">
        <v>8482</v>
      </c>
      <c r="C874" s="60" t="n">
        <v>118</v>
      </c>
      <c r="D874" s="60" t="s">
        <v>8483</v>
      </c>
      <c r="E874" s="60" t="s">
        <v>8483</v>
      </c>
      <c r="F874" s="61" t="s">
        <v>620</v>
      </c>
    </row>
    <row r="875" customFormat="false" ht="15" hidden="false" customHeight="false" outlineLevel="0" collapsed="false">
      <c r="A875" s="92" t="str">
        <f aca="false">Gov_Map!$H119&amp;""</f>
        <v>SRC_HW_021</v>
      </c>
      <c r="B875" s="73" t="s">
        <v>8482</v>
      </c>
      <c r="C875" s="60" t="n">
        <v>119</v>
      </c>
      <c r="D875" s="60" t="s">
        <v>8483</v>
      </c>
      <c r="E875" s="60" t="s">
        <v>8483</v>
      </c>
      <c r="F875" s="61" t="s">
        <v>620</v>
      </c>
    </row>
    <row r="876" customFormat="false" ht="15" hidden="false" customHeight="false" outlineLevel="0" collapsed="false">
      <c r="A876" s="92" t="str">
        <f aca="false">Gov_Map!$H120&amp;""</f>
        <v>SRC_HW_023</v>
      </c>
      <c r="B876" s="73" t="s">
        <v>8482</v>
      </c>
      <c r="C876" s="60" t="n">
        <v>120</v>
      </c>
      <c r="D876" s="60" t="s">
        <v>8483</v>
      </c>
      <c r="E876" s="60" t="s">
        <v>8483</v>
      </c>
      <c r="F876" s="61" t="s">
        <v>620</v>
      </c>
    </row>
    <row r="877" customFormat="false" ht="15" hidden="false" customHeight="false" outlineLevel="0" collapsed="false">
      <c r="A877" s="92" t="str">
        <f aca="false">Gov_Map!$H121&amp;""</f>
        <v>SRC_HW_059</v>
      </c>
      <c r="B877" s="73" t="s">
        <v>8482</v>
      </c>
      <c r="C877" s="60" t="n">
        <v>121</v>
      </c>
      <c r="D877" s="60" t="s">
        <v>8483</v>
      </c>
      <c r="E877" s="60" t="s">
        <v>8483</v>
      </c>
      <c r="F877" s="61" t="s">
        <v>620</v>
      </c>
    </row>
    <row r="878" customFormat="false" ht="15" hidden="false" customHeight="false" outlineLevel="0" collapsed="false">
      <c r="A878" s="92" t="str">
        <f aca="false">Gov_Map!$H122&amp;""</f>
        <v>SRC_HW_030</v>
      </c>
      <c r="B878" s="73" t="s">
        <v>8482</v>
      </c>
      <c r="C878" s="60" t="n">
        <v>122</v>
      </c>
      <c r="D878" s="60" t="s">
        <v>8483</v>
      </c>
      <c r="E878" s="60" t="s">
        <v>8483</v>
      </c>
      <c r="F878" s="61" t="s">
        <v>620</v>
      </c>
    </row>
    <row r="879" customFormat="false" ht="15" hidden="false" customHeight="false" outlineLevel="0" collapsed="false">
      <c r="A879" s="92" t="str">
        <f aca="false">Gov_Map!$H123&amp;""</f>
        <v>SRC_HW_044</v>
      </c>
      <c r="B879" s="73" t="s">
        <v>8482</v>
      </c>
      <c r="C879" s="60" t="n">
        <v>123</v>
      </c>
      <c r="D879" s="60" t="s">
        <v>8483</v>
      </c>
      <c r="E879" s="60" t="s">
        <v>8483</v>
      </c>
      <c r="F879" s="61" t="s">
        <v>620</v>
      </c>
    </row>
    <row r="880" customFormat="false" ht="15" hidden="false" customHeight="false" outlineLevel="0" collapsed="false">
      <c r="A880" s="92" t="str">
        <f aca="false">Gov_Map!$H124&amp;""</f>
        <v>SRC_HW_060</v>
      </c>
      <c r="B880" s="73" t="s">
        <v>8482</v>
      </c>
      <c r="C880" s="60" t="n">
        <v>124</v>
      </c>
      <c r="D880" s="60" t="s">
        <v>8483</v>
      </c>
      <c r="E880" s="60" t="s">
        <v>8483</v>
      </c>
      <c r="F880" s="61" t="s">
        <v>620</v>
      </c>
    </row>
    <row r="881" customFormat="false" ht="15" hidden="false" customHeight="false" outlineLevel="0" collapsed="false">
      <c r="A881" s="92" t="str">
        <f aca="false">Gov_Map!$H125&amp;""</f>
        <v>SRC_HW_048</v>
      </c>
      <c r="B881" s="73" t="s">
        <v>8482</v>
      </c>
      <c r="C881" s="60" t="n">
        <v>125</v>
      </c>
      <c r="D881" s="60" t="s">
        <v>8483</v>
      </c>
      <c r="E881" s="60" t="s">
        <v>8483</v>
      </c>
      <c r="F881" s="61" t="s">
        <v>620</v>
      </c>
    </row>
    <row r="882" customFormat="false" ht="15" hidden="false" customHeight="false" outlineLevel="0" collapsed="false">
      <c r="A882" s="92" t="str">
        <f aca="false">Gov_Map!$H126&amp;""</f>
        <v>SRC_HW_048</v>
      </c>
      <c r="B882" s="73" t="s">
        <v>8482</v>
      </c>
      <c r="C882" s="60" t="n">
        <v>126</v>
      </c>
      <c r="D882" s="60" t="s">
        <v>8483</v>
      </c>
      <c r="E882" s="60" t="s">
        <v>8483</v>
      </c>
      <c r="F882" s="61" t="s">
        <v>620</v>
      </c>
    </row>
    <row r="883" customFormat="false" ht="15" hidden="false" customHeight="false" outlineLevel="0" collapsed="false">
      <c r="A883" s="92" t="str">
        <f aca="false">Gov_Map!$H127&amp;""</f>
        <v>SRC_HW_049</v>
      </c>
      <c r="B883" s="73" t="s">
        <v>8482</v>
      </c>
      <c r="C883" s="60" t="n">
        <v>127</v>
      </c>
      <c r="D883" s="60" t="s">
        <v>8483</v>
      </c>
      <c r="E883" s="60" t="s">
        <v>8483</v>
      </c>
      <c r="F883" s="61" t="s">
        <v>620</v>
      </c>
    </row>
    <row r="884" customFormat="false" ht="15" hidden="false" customHeight="false" outlineLevel="0" collapsed="false">
      <c r="A884" s="92" t="str">
        <f aca="false">Gov_Map!$H128&amp;""</f>
        <v>—</v>
      </c>
      <c r="B884" s="73" t="s">
        <v>8482</v>
      </c>
      <c r="C884" s="60" t="n">
        <v>128</v>
      </c>
      <c r="D884" s="60" t="s">
        <v>8483</v>
      </c>
      <c r="E884" s="60" t="s">
        <v>8483</v>
      </c>
      <c r="F884" s="61" t="s">
        <v>620</v>
      </c>
    </row>
    <row r="885" customFormat="false" ht="15" hidden="false" customHeight="false" outlineLevel="0" collapsed="false">
      <c r="A885" s="92" t="str">
        <f aca="false">Gov_Map!$H129&amp;""</f>
        <v>SRC_HW_053</v>
      </c>
      <c r="B885" s="73" t="s">
        <v>8482</v>
      </c>
      <c r="C885" s="60" t="n">
        <v>129</v>
      </c>
      <c r="D885" s="60" t="s">
        <v>8483</v>
      </c>
      <c r="E885" s="60" t="s">
        <v>8483</v>
      </c>
      <c r="F885" s="61" t="s">
        <v>620</v>
      </c>
    </row>
    <row r="886" customFormat="false" ht="15" hidden="false" customHeight="false" outlineLevel="0" collapsed="false">
      <c r="A886" s="92" t="str">
        <f aca="false">Gov_Map!$H130&amp;""</f>
        <v>SRC_HW_047</v>
      </c>
      <c r="B886" s="73" t="s">
        <v>8482</v>
      </c>
      <c r="C886" s="60" t="n">
        <v>130</v>
      </c>
      <c r="D886" s="60" t="s">
        <v>8483</v>
      </c>
      <c r="E886" s="60" t="s">
        <v>8483</v>
      </c>
      <c r="F886" s="61" t="s">
        <v>620</v>
      </c>
    </row>
    <row r="887" customFormat="false" ht="15" hidden="false" customHeight="false" outlineLevel="0" collapsed="false">
      <c r="A887" s="92" t="str">
        <f aca="false">Gov_Map!$H131&amp;""</f>
        <v>SRC_HW_047</v>
      </c>
      <c r="B887" s="73" t="s">
        <v>8482</v>
      </c>
      <c r="C887" s="60" t="n">
        <v>131</v>
      </c>
      <c r="D887" s="60" t="s">
        <v>8483</v>
      </c>
      <c r="E887" s="60" t="s">
        <v>8483</v>
      </c>
      <c r="F887" s="61" t="s">
        <v>620</v>
      </c>
    </row>
    <row r="888" customFormat="false" ht="15" hidden="false" customHeight="false" outlineLevel="0" collapsed="false">
      <c r="A888" s="92" t="str">
        <f aca="false">Gov_Map!$H132&amp;""</f>
        <v>SRC_HW_047</v>
      </c>
      <c r="B888" s="73" t="s">
        <v>8482</v>
      </c>
      <c r="C888" s="60" t="n">
        <v>132</v>
      </c>
      <c r="D888" s="60" t="s">
        <v>8483</v>
      </c>
      <c r="E888" s="60" t="s">
        <v>8483</v>
      </c>
      <c r="F888" s="61" t="s">
        <v>620</v>
      </c>
    </row>
    <row r="889" customFormat="false" ht="15" hidden="false" customHeight="false" outlineLevel="0" collapsed="false">
      <c r="A889" s="92" t="str">
        <f aca="false">Gov_Map!$H133&amp;""</f>
        <v>SRC_HW_062</v>
      </c>
      <c r="B889" s="73" t="s">
        <v>8482</v>
      </c>
      <c r="C889" s="60" t="n">
        <v>133</v>
      </c>
      <c r="D889" s="60" t="s">
        <v>8483</v>
      </c>
      <c r="E889" s="60" t="s">
        <v>8483</v>
      </c>
      <c r="F889" s="61" t="s">
        <v>620</v>
      </c>
    </row>
    <row r="890" customFormat="false" ht="15" hidden="false" customHeight="false" outlineLevel="0" collapsed="false">
      <c r="A890" s="92" t="str">
        <f aca="false">Gov_Map!$H134&amp;""</f>
        <v>SRC_PERF_051</v>
      </c>
      <c r="B890" s="73" t="s">
        <v>8482</v>
      </c>
      <c r="C890" s="60" t="n">
        <v>134</v>
      </c>
      <c r="D890" s="60" t="s">
        <v>8483</v>
      </c>
      <c r="E890" s="60" t="s">
        <v>8483</v>
      </c>
      <c r="F890" s="61" t="s">
        <v>620</v>
      </c>
    </row>
    <row r="891" customFormat="false" ht="15" hidden="false" customHeight="false" outlineLevel="0" collapsed="false">
      <c r="A891" s="92" t="str">
        <f aca="false">Gov_Map!$H135&amp;""</f>
        <v>SRC_PERF_008</v>
      </c>
      <c r="B891" s="73" t="s">
        <v>8482</v>
      </c>
      <c r="C891" s="60" t="n">
        <v>135</v>
      </c>
      <c r="D891" s="60" t="s">
        <v>8483</v>
      </c>
      <c r="E891" s="60" t="s">
        <v>8483</v>
      </c>
      <c r="F891" s="61" t="s">
        <v>620</v>
      </c>
    </row>
    <row r="892" customFormat="false" ht="15" hidden="false" customHeight="false" outlineLevel="0" collapsed="false">
      <c r="A892" s="92" t="str">
        <f aca="false">Gov_Map!$H136&amp;""</f>
        <v>SRC_PERF_008</v>
      </c>
      <c r="B892" s="73" t="s">
        <v>8482</v>
      </c>
      <c r="C892" s="60" t="n">
        <v>136</v>
      </c>
      <c r="D892" s="60" t="s">
        <v>8483</v>
      </c>
      <c r="E892" s="60" t="s">
        <v>8483</v>
      </c>
      <c r="F892" s="61" t="s">
        <v>620</v>
      </c>
    </row>
    <row r="893" customFormat="false" ht="15" hidden="false" customHeight="false" outlineLevel="0" collapsed="false">
      <c r="A893" s="92" t="str">
        <f aca="false">Gov_Map!$H137&amp;""</f>
        <v>SRC_PERF_008</v>
      </c>
      <c r="B893" s="73" t="s">
        <v>8482</v>
      </c>
      <c r="C893" s="60" t="n">
        <v>137</v>
      </c>
      <c r="D893" s="60" t="s">
        <v>8483</v>
      </c>
      <c r="E893" s="60" t="s">
        <v>8483</v>
      </c>
      <c r="F893" s="61" t="s">
        <v>620</v>
      </c>
    </row>
    <row r="894" customFormat="false" ht="15" hidden="false" customHeight="false" outlineLevel="0" collapsed="false">
      <c r="A894" s="92" t="str">
        <f aca="false">Gov_Map!$H138&amp;""</f>
        <v>—</v>
      </c>
      <c r="B894" s="73" t="s">
        <v>8482</v>
      </c>
      <c r="C894" s="60" t="n">
        <v>138</v>
      </c>
      <c r="D894" s="60" t="s">
        <v>8483</v>
      </c>
      <c r="E894" s="60" t="s">
        <v>8483</v>
      </c>
      <c r="F894" s="61" t="s">
        <v>620</v>
      </c>
    </row>
    <row r="895" customFormat="false" ht="15" hidden="false" customHeight="false" outlineLevel="0" collapsed="false">
      <c r="A895" s="92" t="str">
        <f aca="false">Gov_Map!$H139&amp;""</f>
        <v>SRC_HW_055</v>
      </c>
      <c r="B895" s="73" t="s">
        <v>8482</v>
      </c>
      <c r="C895" s="60" t="n">
        <v>139</v>
      </c>
      <c r="D895" s="60" t="s">
        <v>8483</v>
      </c>
      <c r="E895" s="60" t="s">
        <v>8483</v>
      </c>
      <c r="F895" s="61" t="s">
        <v>620</v>
      </c>
    </row>
    <row r="896" customFormat="false" ht="15" hidden="false" customHeight="false" outlineLevel="0" collapsed="false">
      <c r="A896" s="92" t="str">
        <f aca="false">Gov_Map!$H140&amp;""</f>
        <v>SRC_HW_050</v>
      </c>
      <c r="B896" s="73" t="s">
        <v>8482</v>
      </c>
      <c r="C896" s="60" t="n">
        <v>140</v>
      </c>
      <c r="D896" s="60" t="s">
        <v>8483</v>
      </c>
      <c r="E896" s="60" t="s">
        <v>8483</v>
      </c>
      <c r="F896" s="61" t="s">
        <v>620</v>
      </c>
    </row>
    <row r="897" customFormat="false" ht="15" hidden="false" customHeight="false" outlineLevel="0" collapsed="false">
      <c r="A897" s="92" t="str">
        <f aca="false">Gov_Map!$H141&amp;""</f>
        <v>SRC_HW_050</v>
      </c>
      <c r="B897" s="73" t="s">
        <v>8482</v>
      </c>
      <c r="C897" s="60" t="n">
        <v>141</v>
      </c>
      <c r="D897" s="60" t="s">
        <v>8483</v>
      </c>
      <c r="E897" s="60" t="s">
        <v>8483</v>
      </c>
      <c r="F897" s="61" t="s">
        <v>620</v>
      </c>
    </row>
    <row r="898" customFormat="false" ht="15" hidden="false" customHeight="false" outlineLevel="0" collapsed="false">
      <c r="A898" s="92" t="str">
        <f aca="false">Gov_Map!$H142&amp;""</f>
        <v>SRC_HW_050</v>
      </c>
      <c r="B898" s="73" t="s">
        <v>8482</v>
      </c>
      <c r="C898" s="60" t="n">
        <v>142</v>
      </c>
      <c r="D898" s="60" t="s">
        <v>8483</v>
      </c>
      <c r="E898" s="60" t="s">
        <v>8483</v>
      </c>
      <c r="F898" s="61" t="s">
        <v>620</v>
      </c>
    </row>
    <row r="899" customFormat="false" ht="15" hidden="false" customHeight="false" outlineLevel="0" collapsed="false">
      <c r="A899" s="92" t="str">
        <f aca="false">Gov_Map!$H143&amp;""</f>
        <v>SRC_HW_050</v>
      </c>
      <c r="B899" s="73" t="s">
        <v>8482</v>
      </c>
      <c r="C899" s="60" t="n">
        <v>143</v>
      </c>
      <c r="D899" s="60" t="s">
        <v>8483</v>
      </c>
      <c r="E899" s="60" t="s">
        <v>8483</v>
      </c>
      <c r="F899" s="61" t="s">
        <v>620</v>
      </c>
    </row>
    <row r="900" customFormat="false" ht="15" hidden="false" customHeight="false" outlineLevel="0" collapsed="false">
      <c r="A900" s="92" t="str">
        <f aca="false">Gov_Map!$H144&amp;""</f>
        <v>—</v>
      </c>
      <c r="B900" s="73" t="s">
        <v>8482</v>
      </c>
      <c r="C900" s="60" t="n">
        <v>144</v>
      </c>
      <c r="D900" s="60" t="s">
        <v>8483</v>
      </c>
      <c r="E900" s="60" t="s">
        <v>8483</v>
      </c>
      <c r="F900" s="61" t="s">
        <v>620</v>
      </c>
    </row>
    <row r="901" customFormat="false" ht="15" hidden="false" customHeight="false" outlineLevel="0" collapsed="false">
      <c r="A901" s="92" t="str">
        <f aca="false">Gov_Map!$H145&amp;""</f>
        <v>—</v>
      </c>
      <c r="B901" s="73" t="s">
        <v>8482</v>
      </c>
      <c r="C901" s="60" t="n">
        <v>145</v>
      </c>
      <c r="D901" s="60" t="s">
        <v>8483</v>
      </c>
      <c r="E901" s="60" t="s">
        <v>8483</v>
      </c>
      <c r="F901" s="61" t="s">
        <v>620</v>
      </c>
    </row>
    <row r="902" customFormat="false" ht="15" hidden="false" customHeight="false" outlineLevel="0" collapsed="false">
      <c r="A902" s="92" t="str">
        <f aca="false">Gov_Map!$H146&amp;""</f>
        <v>—</v>
      </c>
      <c r="B902" s="73" t="s">
        <v>8482</v>
      </c>
      <c r="C902" s="60" t="n">
        <v>146</v>
      </c>
      <c r="D902" s="60" t="s">
        <v>8483</v>
      </c>
      <c r="E902" s="60" t="s">
        <v>8483</v>
      </c>
      <c r="F902" s="61" t="s">
        <v>620</v>
      </c>
    </row>
    <row r="903" customFormat="false" ht="15" hidden="false" customHeight="false" outlineLevel="0" collapsed="false">
      <c r="A903" s="92" t="str">
        <f aca="false">Gov_Map!$H147&amp;""</f>
        <v>—</v>
      </c>
      <c r="B903" s="73" t="s">
        <v>8482</v>
      </c>
      <c r="C903" s="60" t="n">
        <v>147</v>
      </c>
      <c r="D903" s="60" t="s">
        <v>8483</v>
      </c>
      <c r="E903" s="60" t="s">
        <v>8483</v>
      </c>
      <c r="F903" s="61" t="s">
        <v>620</v>
      </c>
    </row>
    <row r="904" customFormat="false" ht="15" hidden="false" customHeight="false" outlineLevel="0" collapsed="false">
      <c r="A904" s="92" t="str">
        <f aca="false">Gov_Map!$H148&amp;""</f>
        <v>—</v>
      </c>
      <c r="B904" s="73" t="s">
        <v>8482</v>
      </c>
      <c r="C904" s="60" t="n">
        <v>148</v>
      </c>
      <c r="D904" s="60" t="s">
        <v>8483</v>
      </c>
      <c r="E904" s="60" t="s">
        <v>8483</v>
      </c>
      <c r="F904" s="61" t="s">
        <v>620</v>
      </c>
    </row>
    <row r="905" customFormat="false" ht="15" hidden="false" customHeight="false" outlineLevel="0" collapsed="false">
      <c r="A905" s="92" t="str">
        <f aca="false">Gov_Map!$H149&amp;""</f>
        <v>—</v>
      </c>
      <c r="B905" s="73" t="s">
        <v>8482</v>
      </c>
      <c r="C905" s="60" t="n">
        <v>149</v>
      </c>
      <c r="D905" s="60" t="s">
        <v>8483</v>
      </c>
      <c r="E905" s="60" t="s">
        <v>8483</v>
      </c>
      <c r="F905" s="61" t="s">
        <v>620</v>
      </c>
    </row>
    <row r="906" customFormat="false" ht="15" hidden="false" customHeight="false" outlineLevel="0" collapsed="false">
      <c r="A906" s="92" t="str">
        <f aca="false">Gov_Map!$H150&amp;""</f>
        <v>SRC_PERF_007</v>
      </c>
      <c r="B906" s="73" t="s">
        <v>8482</v>
      </c>
      <c r="C906" s="60" t="n">
        <v>150</v>
      </c>
      <c r="D906" s="60" t="s">
        <v>8483</v>
      </c>
      <c r="E906" s="60" t="s">
        <v>8483</v>
      </c>
      <c r="F906" s="61" t="s">
        <v>620</v>
      </c>
    </row>
    <row r="907" customFormat="false" ht="15" hidden="false" customHeight="false" outlineLevel="0" collapsed="false">
      <c r="A907" s="92" t="str">
        <f aca="false">Gov_Map!$H151&amp;""</f>
        <v>SRC_PERF_007</v>
      </c>
      <c r="B907" s="73" t="s">
        <v>8482</v>
      </c>
      <c r="C907" s="60" t="n">
        <v>151</v>
      </c>
      <c r="D907" s="60" t="s">
        <v>8483</v>
      </c>
      <c r="E907" s="60" t="s">
        <v>8483</v>
      </c>
      <c r="F907" s="61" t="s">
        <v>620</v>
      </c>
    </row>
    <row r="908" customFormat="false" ht="15" hidden="false" customHeight="false" outlineLevel="0" collapsed="false">
      <c r="A908" s="92" t="str">
        <f aca="false">Gov_Map!$H152&amp;""</f>
        <v>SRC_PERF_007</v>
      </c>
      <c r="B908" s="73" t="s">
        <v>8482</v>
      </c>
      <c r="C908" s="60" t="n">
        <v>152</v>
      </c>
      <c r="D908" s="60" t="s">
        <v>8483</v>
      </c>
      <c r="E908" s="60" t="s">
        <v>8483</v>
      </c>
      <c r="F908" s="61" t="s">
        <v>620</v>
      </c>
    </row>
    <row r="909" customFormat="false" ht="15" hidden="false" customHeight="false" outlineLevel="0" collapsed="false">
      <c r="A909" s="92" t="str">
        <f aca="false">Gov_Map!$H153&amp;""</f>
        <v>—</v>
      </c>
      <c r="B909" s="73" t="s">
        <v>8482</v>
      </c>
      <c r="C909" s="60" t="n">
        <v>153</v>
      </c>
      <c r="D909" s="60" t="s">
        <v>8483</v>
      </c>
      <c r="E909" s="60" t="s">
        <v>8483</v>
      </c>
      <c r="F909" s="61" t="s">
        <v>620</v>
      </c>
    </row>
    <row r="910" customFormat="false" ht="15" hidden="false" customHeight="false" outlineLevel="0" collapsed="false">
      <c r="A910" s="92" t="str">
        <f aca="false">Gov_Map!$H154&amp;""</f>
        <v>SRC_HW_056</v>
      </c>
      <c r="B910" s="73" t="s">
        <v>8482</v>
      </c>
      <c r="C910" s="60" t="n">
        <v>154</v>
      </c>
      <c r="D910" s="60" t="s">
        <v>8483</v>
      </c>
      <c r="E910" s="60" t="s">
        <v>8483</v>
      </c>
      <c r="F910" s="61" t="s">
        <v>620</v>
      </c>
    </row>
    <row r="911" customFormat="false" ht="15" hidden="false" customHeight="false" outlineLevel="0" collapsed="false">
      <c r="A911" s="92" t="str">
        <f aca="false">Gov_Map!$H155&amp;""</f>
        <v>SRC_HW_057</v>
      </c>
      <c r="B911" s="73" t="s">
        <v>8482</v>
      </c>
      <c r="C911" s="60" t="n">
        <v>155</v>
      </c>
      <c r="D911" s="60" t="s">
        <v>8483</v>
      </c>
      <c r="E911" s="60" t="s">
        <v>8483</v>
      </c>
      <c r="F911" s="61" t="s">
        <v>620</v>
      </c>
    </row>
    <row r="912" customFormat="false" ht="15" hidden="false" customHeight="false" outlineLevel="0" collapsed="false">
      <c r="A912" s="92" t="str">
        <f aca="false">Gov_Map!$H156&amp;""</f>
        <v>SRC_HW_058</v>
      </c>
      <c r="B912" s="73" t="s">
        <v>8482</v>
      </c>
      <c r="C912" s="60" t="n">
        <v>156</v>
      </c>
      <c r="D912" s="60" t="s">
        <v>8483</v>
      </c>
      <c r="E912" s="60" t="s">
        <v>8483</v>
      </c>
      <c r="F912" s="61" t="s">
        <v>620</v>
      </c>
    </row>
    <row r="913" customFormat="false" ht="15" hidden="false" customHeight="false" outlineLevel="0" collapsed="false">
      <c r="A913" s="92" t="str">
        <f aca="false">Gov_Map!$H157&amp;""</f>
        <v>SRC_HW_046</v>
      </c>
      <c r="B913" s="73" t="s">
        <v>8482</v>
      </c>
      <c r="C913" s="60" t="n">
        <v>157</v>
      </c>
      <c r="D913" s="60" t="s">
        <v>8483</v>
      </c>
      <c r="E913" s="60" t="s">
        <v>8483</v>
      </c>
      <c r="F913" s="61" t="s">
        <v>620</v>
      </c>
    </row>
    <row r="914" customFormat="false" ht="15" hidden="false" customHeight="false" outlineLevel="0" collapsed="false">
      <c r="A914" s="92" t="str">
        <f aca="false">Gov_Map!$H158&amp;""</f>
        <v>—</v>
      </c>
      <c r="B914" s="73" t="s">
        <v>8482</v>
      </c>
      <c r="C914" s="60" t="n">
        <v>158</v>
      </c>
      <c r="D914" s="60" t="s">
        <v>8483</v>
      </c>
      <c r="E914" s="60" t="s">
        <v>8483</v>
      </c>
      <c r="F914" s="61" t="s">
        <v>620</v>
      </c>
    </row>
    <row r="915" customFormat="false" ht="15" hidden="false" customHeight="false" outlineLevel="0" collapsed="false">
      <c r="A915" s="92" t="str">
        <f aca="false">Gov_Map!$H159&amp;""</f>
        <v>SRC_HW_032</v>
      </c>
      <c r="B915" s="73" t="s">
        <v>8482</v>
      </c>
      <c r="C915" s="60" t="n">
        <v>159</v>
      </c>
      <c r="D915" s="60" t="s">
        <v>8483</v>
      </c>
      <c r="E915" s="60" t="s">
        <v>8483</v>
      </c>
      <c r="F915" s="61" t="s">
        <v>620</v>
      </c>
    </row>
    <row r="916" customFormat="false" ht="15" hidden="false" customHeight="false" outlineLevel="0" collapsed="false">
      <c r="A916" s="92" t="str">
        <f aca="false">Gov_Map!$H160&amp;""</f>
        <v>SRC_HW_033</v>
      </c>
      <c r="B916" s="73" t="s">
        <v>8482</v>
      </c>
      <c r="C916" s="60" t="n">
        <v>160</v>
      </c>
      <c r="D916" s="60" t="s">
        <v>8483</v>
      </c>
      <c r="E916" s="60" t="s">
        <v>8483</v>
      </c>
      <c r="F916" s="61" t="s">
        <v>620</v>
      </c>
    </row>
    <row r="917" customFormat="false" ht="15" hidden="false" customHeight="false" outlineLevel="0" collapsed="false">
      <c r="A917" s="92" t="str">
        <f aca="false">Gov_Map!$H161&amp;""</f>
        <v>SRC_HW_033</v>
      </c>
      <c r="B917" s="73" t="s">
        <v>8482</v>
      </c>
      <c r="C917" s="60" t="n">
        <v>161</v>
      </c>
      <c r="D917" s="60" t="s">
        <v>8483</v>
      </c>
      <c r="E917" s="60" t="s">
        <v>8483</v>
      </c>
      <c r="F917" s="61" t="s">
        <v>620</v>
      </c>
    </row>
    <row r="918" customFormat="false" ht="15" hidden="false" customHeight="false" outlineLevel="0" collapsed="false">
      <c r="A918" s="92" t="str">
        <f aca="false">Gov_Map!$H162&amp;""</f>
        <v>SRC_HW_034</v>
      </c>
      <c r="B918" s="73" t="s">
        <v>8482</v>
      </c>
      <c r="C918" s="60" t="n">
        <v>162</v>
      </c>
      <c r="D918" s="60" t="s">
        <v>8483</v>
      </c>
      <c r="E918" s="60" t="s">
        <v>8483</v>
      </c>
      <c r="F918" s="61" t="s">
        <v>620</v>
      </c>
    </row>
    <row r="919" customFormat="false" ht="15" hidden="false" customHeight="false" outlineLevel="0" collapsed="false">
      <c r="A919" s="92" t="str">
        <f aca="false">Gov_Map!$H163&amp;""</f>
        <v>—</v>
      </c>
      <c r="B919" s="73" t="s">
        <v>8482</v>
      </c>
      <c r="C919" s="60" t="n">
        <v>163</v>
      </c>
      <c r="D919" s="60" t="s">
        <v>8483</v>
      </c>
      <c r="E919" s="60" t="s">
        <v>8483</v>
      </c>
      <c r="F919" s="61" t="s">
        <v>620</v>
      </c>
    </row>
    <row r="920" customFormat="false" ht="15" hidden="false" customHeight="false" outlineLevel="0" collapsed="false">
      <c r="A920" s="92" t="str">
        <f aca="false">Gov_Map!$H164&amp;""</f>
        <v>SRC_HW_019</v>
      </c>
      <c r="B920" s="73" t="s">
        <v>8482</v>
      </c>
      <c r="C920" s="60" t="n">
        <v>164</v>
      </c>
      <c r="D920" s="60" t="s">
        <v>8483</v>
      </c>
      <c r="E920" s="60" t="s">
        <v>8483</v>
      </c>
      <c r="F920" s="61" t="s">
        <v>620</v>
      </c>
    </row>
    <row r="921" customFormat="false" ht="15" hidden="false" customHeight="false" outlineLevel="0" collapsed="false">
      <c r="A921" s="92" t="str">
        <f aca="false">Gov_Map!$H165&amp;""</f>
        <v>SRC_HW_042</v>
      </c>
      <c r="B921" s="73" t="s">
        <v>8482</v>
      </c>
      <c r="C921" s="60" t="n">
        <v>165</v>
      </c>
      <c r="D921" s="60" t="s">
        <v>8483</v>
      </c>
      <c r="E921" s="60" t="s">
        <v>8483</v>
      </c>
      <c r="F921" s="61" t="s">
        <v>620</v>
      </c>
    </row>
    <row r="922" customFormat="false" ht="15" hidden="false" customHeight="false" outlineLevel="0" collapsed="false">
      <c r="A922" s="92" t="str">
        <f aca="false">Gov_Map!$H166&amp;""</f>
        <v>SRC_HW_042</v>
      </c>
      <c r="B922" s="73" t="s">
        <v>8482</v>
      </c>
      <c r="C922" s="60" t="n">
        <v>166</v>
      </c>
      <c r="D922" s="60" t="s">
        <v>8483</v>
      </c>
      <c r="E922" s="60" t="s">
        <v>8483</v>
      </c>
      <c r="F922" s="61" t="s">
        <v>620</v>
      </c>
    </row>
    <row r="923" customFormat="false" ht="15" hidden="false" customHeight="false" outlineLevel="0" collapsed="false">
      <c r="A923" s="92" t="str">
        <f aca="false">Gov_Map!$H167&amp;""</f>
        <v>SRC_HW_039</v>
      </c>
      <c r="B923" s="73" t="s">
        <v>8482</v>
      </c>
      <c r="C923" s="60" t="n">
        <v>167</v>
      </c>
      <c r="D923" s="60" t="s">
        <v>8483</v>
      </c>
      <c r="E923" s="60" t="s">
        <v>8483</v>
      </c>
      <c r="F923" s="61" t="s">
        <v>620</v>
      </c>
    </row>
    <row r="924" customFormat="false" ht="15" hidden="false" customHeight="false" outlineLevel="0" collapsed="false">
      <c r="A924" s="92" t="str">
        <f aca="false">Gov_Map!$H168&amp;""</f>
        <v>—</v>
      </c>
      <c r="B924" s="73" t="s">
        <v>8482</v>
      </c>
      <c r="C924" s="60" t="n">
        <v>168</v>
      </c>
      <c r="D924" s="60" t="s">
        <v>8483</v>
      </c>
      <c r="E924" s="60" t="s">
        <v>8483</v>
      </c>
      <c r="F924" s="61" t="s">
        <v>620</v>
      </c>
    </row>
    <row r="925" customFormat="false" ht="15" hidden="false" customHeight="false" outlineLevel="0" collapsed="false">
      <c r="A925" s="92" t="str">
        <f aca="false">Gov_Map!$H169&amp;""</f>
        <v>SRC_HW_040</v>
      </c>
      <c r="B925" s="73" t="s">
        <v>8482</v>
      </c>
      <c r="C925" s="60" t="n">
        <v>169</v>
      </c>
      <c r="D925" s="60" t="s">
        <v>8483</v>
      </c>
      <c r="E925" s="60" t="s">
        <v>8483</v>
      </c>
      <c r="F925" s="61" t="s">
        <v>620</v>
      </c>
    </row>
    <row r="926" customFormat="false" ht="15" hidden="false" customHeight="false" outlineLevel="0" collapsed="false">
      <c r="A926" s="92" t="str">
        <f aca="false">Gov_Map!$H170&amp;""</f>
        <v>SRC_HW_043</v>
      </c>
      <c r="B926" s="73" t="s">
        <v>8482</v>
      </c>
      <c r="C926" s="60" t="n">
        <v>170</v>
      </c>
      <c r="D926" s="60" t="s">
        <v>8483</v>
      </c>
      <c r="E926" s="60" t="s">
        <v>8483</v>
      </c>
      <c r="F926" s="61" t="s">
        <v>620</v>
      </c>
    </row>
    <row r="927" customFormat="false" ht="15" hidden="false" customHeight="false" outlineLevel="0" collapsed="false">
      <c r="A927" s="92" t="str">
        <f aca="false">Gov_Map!$H171&amp;""</f>
        <v>SRC_HW_043</v>
      </c>
      <c r="B927" s="73" t="s">
        <v>8482</v>
      </c>
      <c r="C927" s="60" t="n">
        <v>171</v>
      </c>
      <c r="D927" s="60" t="s">
        <v>8483</v>
      </c>
      <c r="E927" s="60" t="s">
        <v>8483</v>
      </c>
      <c r="F927" s="61" t="s">
        <v>620</v>
      </c>
    </row>
    <row r="928" customFormat="false" ht="15" hidden="false" customHeight="false" outlineLevel="0" collapsed="false">
      <c r="A928" s="92" t="str">
        <f aca="false">Gov_Map!$H172&amp;""</f>
        <v>SRC_HW_038</v>
      </c>
      <c r="B928" s="73" t="s">
        <v>8482</v>
      </c>
      <c r="C928" s="60" t="n">
        <v>172</v>
      </c>
      <c r="D928" s="60" t="s">
        <v>8483</v>
      </c>
      <c r="E928" s="60" t="s">
        <v>8483</v>
      </c>
      <c r="F928" s="61" t="s">
        <v>620</v>
      </c>
    </row>
    <row r="929" customFormat="false" ht="15" hidden="false" customHeight="false" outlineLevel="0" collapsed="false">
      <c r="A929" s="92" t="str">
        <f aca="false">Gov_Map!$H173&amp;""</f>
        <v>SRC_HW_063</v>
      </c>
      <c r="B929" s="73" t="s">
        <v>8482</v>
      </c>
      <c r="C929" s="60" t="n">
        <v>173</v>
      </c>
      <c r="D929" s="60" t="s">
        <v>8483</v>
      </c>
      <c r="E929" s="60" t="s">
        <v>8483</v>
      </c>
      <c r="F929" s="61" t="s">
        <v>620</v>
      </c>
    </row>
    <row r="930" customFormat="false" ht="15" hidden="false" customHeight="false" outlineLevel="0" collapsed="false">
      <c r="A930" s="92" t="str">
        <f aca="false">Gov_Map!$H174&amp;""</f>
        <v>—</v>
      </c>
      <c r="B930" s="73" t="s">
        <v>8482</v>
      </c>
      <c r="C930" s="60" t="n">
        <v>174</v>
      </c>
      <c r="D930" s="60" t="s">
        <v>8483</v>
      </c>
      <c r="E930" s="60" t="s">
        <v>8483</v>
      </c>
      <c r="F930" s="61" t="s">
        <v>620</v>
      </c>
    </row>
    <row r="931" customFormat="false" ht="15" hidden="false" customHeight="false" outlineLevel="0" collapsed="false">
      <c r="A931" s="92" t="str">
        <f aca="false">Gov_Map!$H175&amp;""</f>
        <v>SRC_HW_037</v>
      </c>
      <c r="B931" s="73" t="s">
        <v>8482</v>
      </c>
      <c r="C931" s="60" t="n">
        <v>175</v>
      </c>
      <c r="D931" s="60" t="s">
        <v>8483</v>
      </c>
      <c r="E931" s="60" t="s">
        <v>8483</v>
      </c>
      <c r="F931" s="61" t="s">
        <v>620</v>
      </c>
    </row>
    <row r="932" customFormat="false" ht="15" hidden="false" customHeight="false" outlineLevel="0" collapsed="false">
      <c r="A932" s="92" t="str">
        <f aca="false">Gov_Map!$H176&amp;""</f>
        <v>—</v>
      </c>
      <c r="B932" s="73" t="s">
        <v>8482</v>
      </c>
      <c r="C932" s="60" t="n">
        <v>176</v>
      </c>
      <c r="D932" s="60" t="s">
        <v>8483</v>
      </c>
      <c r="E932" s="60" t="s">
        <v>8483</v>
      </c>
      <c r="F932" s="61" t="s">
        <v>620</v>
      </c>
    </row>
    <row r="933" customFormat="false" ht="15" hidden="false" customHeight="false" outlineLevel="0" collapsed="false">
      <c r="A933" s="92" t="str">
        <f aca="false">Gov_Map!$H177&amp;""</f>
        <v>SRC_HW_037</v>
      </c>
      <c r="B933" s="73" t="s">
        <v>8482</v>
      </c>
      <c r="C933" s="60" t="n">
        <v>177</v>
      </c>
      <c r="D933" s="60" t="s">
        <v>8483</v>
      </c>
      <c r="E933" s="60" t="s">
        <v>8483</v>
      </c>
      <c r="F933" s="61" t="s">
        <v>620</v>
      </c>
    </row>
    <row r="934" customFormat="false" ht="15" hidden="false" customHeight="false" outlineLevel="0" collapsed="false">
      <c r="A934" s="92" t="str">
        <f aca="false">Gov_Map!$H178&amp;""</f>
        <v>—</v>
      </c>
      <c r="B934" s="73" t="s">
        <v>8482</v>
      </c>
      <c r="C934" s="60" t="n">
        <v>178</v>
      </c>
      <c r="D934" s="60" t="s">
        <v>8483</v>
      </c>
      <c r="E934" s="60" t="s">
        <v>8483</v>
      </c>
      <c r="F934" s="61" t="s">
        <v>620</v>
      </c>
    </row>
    <row r="935" customFormat="false" ht="15" hidden="false" customHeight="false" outlineLevel="0" collapsed="false">
      <c r="A935" s="92" t="str">
        <f aca="false">Gov_Map!$H179&amp;""</f>
        <v>SRC_MOD_005</v>
      </c>
      <c r="B935" s="73" t="s">
        <v>8482</v>
      </c>
      <c r="C935" s="60" t="n">
        <v>179</v>
      </c>
      <c r="D935" s="60" t="s">
        <v>8483</v>
      </c>
      <c r="E935" s="60" t="s">
        <v>8483</v>
      </c>
      <c r="F935" s="61" t="s">
        <v>620</v>
      </c>
    </row>
    <row r="936" customFormat="false" ht="15" hidden="false" customHeight="false" outlineLevel="0" collapsed="false">
      <c r="A936" s="92" t="str">
        <f aca="false">Gov_Map!$H180&amp;""</f>
        <v>SRC_MOD_001</v>
      </c>
      <c r="B936" s="73" t="s">
        <v>8482</v>
      </c>
      <c r="C936" s="60" t="n">
        <v>180</v>
      </c>
      <c r="D936" s="60" t="s">
        <v>8483</v>
      </c>
      <c r="E936" s="60" t="s">
        <v>8483</v>
      </c>
      <c r="F936" s="61" t="s">
        <v>620</v>
      </c>
    </row>
    <row r="937" customFormat="false" ht="15" hidden="false" customHeight="false" outlineLevel="0" collapsed="false">
      <c r="A937" s="92" t="str">
        <f aca="false">Gov_Map!$H181&amp;""</f>
        <v>SRC_MOD_006</v>
      </c>
      <c r="B937" s="73" t="s">
        <v>8482</v>
      </c>
      <c r="C937" s="60" t="n">
        <v>181</v>
      </c>
      <c r="D937" s="60" t="s">
        <v>8483</v>
      </c>
      <c r="E937" s="60" t="s">
        <v>8483</v>
      </c>
      <c r="F937" s="61" t="s">
        <v>620</v>
      </c>
    </row>
    <row r="938" customFormat="false" ht="15" hidden="false" customHeight="false" outlineLevel="0" collapsed="false">
      <c r="A938" s="92" t="str">
        <f aca="false">Gov_Map!$H182&amp;""</f>
        <v>SRC_MOD_002</v>
      </c>
      <c r="B938" s="73" t="s">
        <v>8482</v>
      </c>
      <c r="C938" s="60" t="n">
        <v>182</v>
      </c>
      <c r="D938" s="60" t="s">
        <v>8483</v>
      </c>
      <c r="E938" s="60" t="s">
        <v>8483</v>
      </c>
      <c r="F938" s="61" t="s">
        <v>620</v>
      </c>
    </row>
    <row r="939" customFormat="false" ht="15" hidden="false" customHeight="false" outlineLevel="0" collapsed="false">
      <c r="A939" s="92" t="str">
        <f aca="false">Gov_Map!$H183&amp;""</f>
        <v>SRC_MOD_007</v>
      </c>
      <c r="B939" s="73" t="s">
        <v>8482</v>
      </c>
      <c r="C939" s="60" t="n">
        <v>183</v>
      </c>
      <c r="D939" s="60" t="s">
        <v>8483</v>
      </c>
      <c r="E939" s="60" t="s">
        <v>8483</v>
      </c>
      <c r="F939" s="61" t="s">
        <v>620</v>
      </c>
    </row>
    <row r="940" customFormat="false" ht="15" hidden="false" customHeight="false" outlineLevel="0" collapsed="false">
      <c r="A940" s="92" t="str">
        <f aca="false">Gov_Map!$H184&amp;""</f>
        <v>SRC_MOD_003</v>
      </c>
      <c r="B940" s="73" t="s">
        <v>8482</v>
      </c>
      <c r="C940" s="60" t="n">
        <v>184</v>
      </c>
      <c r="D940" s="60" t="s">
        <v>8483</v>
      </c>
      <c r="E940" s="60" t="s">
        <v>8483</v>
      </c>
      <c r="F940" s="61" t="s">
        <v>620</v>
      </c>
    </row>
    <row r="941" customFormat="false" ht="15" hidden="false" customHeight="false" outlineLevel="0" collapsed="false">
      <c r="A941" s="92" t="str">
        <f aca="false">Gov_Map!$H185&amp;""</f>
        <v>SRC_MOD_009</v>
      </c>
      <c r="B941" s="73" t="s">
        <v>8482</v>
      </c>
      <c r="C941" s="60" t="n">
        <v>185</v>
      </c>
      <c r="D941" s="60" t="s">
        <v>8483</v>
      </c>
      <c r="E941" s="60" t="s">
        <v>8483</v>
      </c>
      <c r="F941" s="61" t="s">
        <v>620</v>
      </c>
    </row>
    <row r="942" customFormat="false" ht="15" hidden="false" customHeight="false" outlineLevel="0" collapsed="false">
      <c r="A942" s="92" t="str">
        <f aca="false">Gov_Map!$H186&amp;""</f>
        <v>SRC_MOD_009</v>
      </c>
      <c r="B942" s="73" t="s">
        <v>8482</v>
      </c>
      <c r="C942" s="60" t="n">
        <v>186</v>
      </c>
      <c r="D942" s="60" t="s">
        <v>8483</v>
      </c>
      <c r="E942" s="60" t="s">
        <v>8483</v>
      </c>
      <c r="F942" s="61" t="s">
        <v>620</v>
      </c>
    </row>
    <row r="943" customFormat="false" ht="15" hidden="false" customHeight="false" outlineLevel="0" collapsed="false">
      <c r="A943" s="92" t="str">
        <f aca="false">Gov_Map!$H187&amp;""</f>
        <v>SRC_MOD_010</v>
      </c>
      <c r="B943" s="73" t="s">
        <v>8482</v>
      </c>
      <c r="C943" s="60" t="n">
        <v>187</v>
      </c>
      <c r="D943" s="60" t="s">
        <v>8483</v>
      </c>
      <c r="E943" s="60" t="s">
        <v>8483</v>
      </c>
      <c r="F943" s="61" t="s">
        <v>620</v>
      </c>
    </row>
    <row r="944" customFormat="false" ht="15" hidden="false" customHeight="false" outlineLevel="0" collapsed="false">
      <c r="A944" s="92" t="str">
        <f aca="false">Gov_Map!$H188&amp;""</f>
        <v>SRC_MOD_011</v>
      </c>
      <c r="B944" s="73" t="s">
        <v>8482</v>
      </c>
      <c r="C944" s="60" t="n">
        <v>188</v>
      </c>
      <c r="D944" s="60" t="s">
        <v>8483</v>
      </c>
      <c r="E944" s="60" t="s">
        <v>8483</v>
      </c>
      <c r="F944" s="61" t="s">
        <v>620</v>
      </c>
    </row>
    <row r="945" customFormat="false" ht="15" hidden="false" customHeight="false" outlineLevel="0" collapsed="false">
      <c r="A945" s="92" t="str">
        <f aca="false">Gov_Map!$H189&amp;""</f>
        <v>SRC_MOD_012</v>
      </c>
      <c r="B945" s="73" t="s">
        <v>8482</v>
      </c>
      <c r="C945" s="60" t="n">
        <v>189</v>
      </c>
      <c r="D945" s="60" t="s">
        <v>8483</v>
      </c>
      <c r="E945" s="60" t="s">
        <v>8483</v>
      </c>
      <c r="F945" s="61" t="s">
        <v>620</v>
      </c>
    </row>
    <row r="946" customFormat="false" ht="15" hidden="false" customHeight="false" outlineLevel="0" collapsed="false">
      <c r="A946" s="92" t="str">
        <f aca="false">Gov_Map!$H190&amp;""</f>
        <v>SRC_MOD_012</v>
      </c>
      <c r="B946" s="73" t="s">
        <v>8482</v>
      </c>
      <c r="C946" s="60" t="n">
        <v>190</v>
      </c>
      <c r="D946" s="60" t="s">
        <v>8483</v>
      </c>
      <c r="E946" s="60" t="s">
        <v>8483</v>
      </c>
      <c r="F946" s="61" t="s">
        <v>620</v>
      </c>
    </row>
    <row r="947" customFormat="false" ht="15" hidden="false" customHeight="false" outlineLevel="0" collapsed="false">
      <c r="A947" s="92" t="str">
        <f aca="false">Gov_Map!$H191&amp;""</f>
        <v>SRC_MOD_013</v>
      </c>
      <c r="B947" s="73" t="s">
        <v>8482</v>
      </c>
      <c r="C947" s="60" t="n">
        <v>191</v>
      </c>
      <c r="D947" s="60" t="s">
        <v>8483</v>
      </c>
      <c r="E947" s="60" t="s">
        <v>8483</v>
      </c>
      <c r="F947" s="61" t="s">
        <v>620</v>
      </c>
    </row>
    <row r="948" customFormat="false" ht="15" hidden="false" customHeight="false" outlineLevel="0" collapsed="false">
      <c r="A948" s="92" t="str">
        <f aca="false">Gov_Map!$H192&amp;""</f>
        <v>SRC_MOD_013</v>
      </c>
      <c r="B948" s="73" t="s">
        <v>8482</v>
      </c>
      <c r="C948" s="60" t="n">
        <v>192</v>
      </c>
      <c r="D948" s="60" t="s">
        <v>8483</v>
      </c>
      <c r="E948" s="60" t="s">
        <v>8483</v>
      </c>
      <c r="F948" s="61" t="s">
        <v>620</v>
      </c>
    </row>
    <row r="949" customFormat="false" ht="15" hidden="false" customHeight="false" outlineLevel="0" collapsed="false">
      <c r="A949" s="92" t="str">
        <f aca="false">Gov_Map!$H193&amp;""</f>
        <v>SRC_MOD_014</v>
      </c>
      <c r="B949" s="73" t="s">
        <v>8482</v>
      </c>
      <c r="C949" s="60" t="n">
        <v>193</v>
      </c>
      <c r="D949" s="60" t="s">
        <v>8483</v>
      </c>
      <c r="E949" s="60" t="s">
        <v>8483</v>
      </c>
      <c r="F949" s="61" t="s">
        <v>620</v>
      </c>
    </row>
    <row r="950" customFormat="false" ht="15" hidden="false" customHeight="false" outlineLevel="0" collapsed="false">
      <c r="A950" s="92" t="str">
        <f aca="false">Gov_Map!$H194&amp;""</f>
        <v>SRC_MOD_014</v>
      </c>
      <c r="B950" s="73" t="s">
        <v>8482</v>
      </c>
      <c r="C950" s="60" t="n">
        <v>194</v>
      </c>
      <c r="D950" s="60" t="s">
        <v>8483</v>
      </c>
      <c r="E950" s="60" t="s">
        <v>8483</v>
      </c>
      <c r="F950" s="61" t="s">
        <v>620</v>
      </c>
    </row>
    <row r="951" customFormat="false" ht="15" hidden="false" customHeight="false" outlineLevel="0" collapsed="false">
      <c r="A951" s="92" t="str">
        <f aca="false">Gov_Map!$H195&amp;""</f>
        <v>SRC_MOD_015</v>
      </c>
      <c r="B951" s="73" t="s">
        <v>8482</v>
      </c>
      <c r="C951" s="60" t="n">
        <v>195</v>
      </c>
      <c r="D951" s="60" t="s">
        <v>8483</v>
      </c>
      <c r="E951" s="60" t="s">
        <v>8483</v>
      </c>
      <c r="F951" s="61" t="s">
        <v>620</v>
      </c>
    </row>
    <row r="952" customFormat="false" ht="15" hidden="false" customHeight="false" outlineLevel="0" collapsed="false">
      <c r="A952" s="92" t="str">
        <f aca="false">Gov_Map!$H196&amp;""</f>
        <v>SRC_MOD_015</v>
      </c>
      <c r="B952" s="73" t="s">
        <v>8482</v>
      </c>
      <c r="C952" s="60" t="n">
        <v>196</v>
      </c>
      <c r="D952" s="60" t="s">
        <v>8483</v>
      </c>
      <c r="E952" s="60" t="s">
        <v>8483</v>
      </c>
      <c r="F952" s="61" t="s">
        <v>620</v>
      </c>
    </row>
    <row r="953" customFormat="false" ht="15" hidden="false" customHeight="false" outlineLevel="0" collapsed="false">
      <c r="A953" s="92" t="str">
        <f aca="false">Gov_Map!$H197&amp;""</f>
        <v>SRC_MOD_016</v>
      </c>
      <c r="B953" s="73" t="s">
        <v>8482</v>
      </c>
      <c r="C953" s="60" t="n">
        <v>197</v>
      </c>
      <c r="D953" s="60" t="s">
        <v>8483</v>
      </c>
      <c r="E953" s="60" t="s">
        <v>8483</v>
      </c>
      <c r="F953" s="61" t="s">
        <v>620</v>
      </c>
    </row>
    <row r="954" customFormat="false" ht="15" hidden="false" customHeight="false" outlineLevel="0" collapsed="false">
      <c r="A954" s="92" t="str">
        <f aca="false">Gov_Map!$H198&amp;""</f>
        <v>SRC_MOD_016</v>
      </c>
      <c r="B954" s="73" t="s">
        <v>8482</v>
      </c>
      <c r="C954" s="60" t="n">
        <v>198</v>
      </c>
      <c r="D954" s="60" t="s">
        <v>8483</v>
      </c>
      <c r="E954" s="60" t="s">
        <v>8483</v>
      </c>
      <c r="F954" s="61" t="s">
        <v>620</v>
      </c>
    </row>
    <row r="955" customFormat="false" ht="15" hidden="false" customHeight="false" outlineLevel="0" collapsed="false">
      <c r="A955" s="92" t="str">
        <f aca="false">Gov_Map!$H199&amp;""</f>
        <v>SRC_MOD_017</v>
      </c>
      <c r="B955" s="73" t="s">
        <v>8482</v>
      </c>
      <c r="C955" s="60" t="n">
        <v>199</v>
      </c>
      <c r="D955" s="60" t="s">
        <v>8483</v>
      </c>
      <c r="E955" s="60" t="s">
        <v>8483</v>
      </c>
      <c r="F955" s="61" t="s">
        <v>620</v>
      </c>
    </row>
    <row r="956" customFormat="false" ht="15" hidden="false" customHeight="false" outlineLevel="0" collapsed="false">
      <c r="A956" s="92" t="str">
        <f aca="false">Gov_Map!$H200&amp;""</f>
        <v>SRC_MOD_017</v>
      </c>
      <c r="B956" s="73" t="s">
        <v>8482</v>
      </c>
      <c r="C956" s="60" t="n">
        <v>200</v>
      </c>
      <c r="D956" s="60" t="s">
        <v>8483</v>
      </c>
      <c r="E956" s="60" t="s">
        <v>8483</v>
      </c>
      <c r="F956" s="61" t="s">
        <v>620</v>
      </c>
    </row>
    <row r="957" customFormat="false" ht="15" hidden="false" customHeight="false" outlineLevel="0" collapsed="false">
      <c r="A957" s="92" t="str">
        <f aca="false">Gov_Map!$H201&amp;""</f>
        <v>SRC_MOD_004</v>
      </c>
      <c r="B957" s="73" t="s">
        <v>8482</v>
      </c>
      <c r="C957" s="60" t="n">
        <v>201</v>
      </c>
      <c r="D957" s="60" t="s">
        <v>8483</v>
      </c>
      <c r="E957" s="60" t="s">
        <v>8483</v>
      </c>
      <c r="F957" s="61" t="s">
        <v>620</v>
      </c>
    </row>
    <row r="958" customFormat="false" ht="15" hidden="false" customHeight="false" outlineLevel="0" collapsed="false">
      <c r="A958" s="92" t="str">
        <f aca="false">Gov_Map!$H202&amp;""</f>
        <v>SRC_MOD_008</v>
      </c>
      <c r="B958" s="73" t="s">
        <v>8482</v>
      </c>
      <c r="C958" s="60" t="n">
        <v>202</v>
      </c>
      <c r="D958" s="60" t="s">
        <v>8483</v>
      </c>
      <c r="E958" s="60" t="s">
        <v>8483</v>
      </c>
      <c r="F958" s="61" t="s">
        <v>620</v>
      </c>
    </row>
    <row r="959" customFormat="false" ht="15" hidden="false" customHeight="false" outlineLevel="0" collapsed="false">
      <c r="A959" s="92" t="str">
        <f aca="false">Gov_Map!$H203&amp;""</f>
        <v>SRC_MOD_052</v>
      </c>
      <c r="B959" s="73" t="s">
        <v>8482</v>
      </c>
      <c r="C959" s="60" t="n">
        <v>203</v>
      </c>
      <c r="D959" s="60" t="s">
        <v>8483</v>
      </c>
      <c r="E959" s="60" t="s">
        <v>8483</v>
      </c>
      <c r="F959" s="61" t="s">
        <v>620</v>
      </c>
    </row>
    <row r="960" customFormat="false" ht="15" hidden="false" customHeight="false" outlineLevel="0" collapsed="false">
      <c r="A960" s="92" t="str">
        <f aca="false">Gov_Map!$H204&amp;""</f>
        <v>SRC_MOD_053</v>
      </c>
      <c r="B960" s="73" t="s">
        <v>8482</v>
      </c>
      <c r="C960" s="60" t="n">
        <v>204</v>
      </c>
      <c r="D960" s="60" t="s">
        <v>8483</v>
      </c>
      <c r="E960" s="60" t="s">
        <v>8483</v>
      </c>
      <c r="F960" s="61" t="s">
        <v>620</v>
      </c>
    </row>
    <row r="961" customFormat="false" ht="15" hidden="false" customHeight="false" outlineLevel="0" collapsed="false">
      <c r="A961" s="92" t="str">
        <f aca="false">Gov_Map!$H205&amp;""</f>
        <v>SRC_MOD_018</v>
      </c>
      <c r="B961" s="73" t="s">
        <v>8482</v>
      </c>
      <c r="C961" s="60" t="n">
        <v>205</v>
      </c>
      <c r="D961" s="60" t="s">
        <v>8483</v>
      </c>
      <c r="E961" s="60" t="s">
        <v>8483</v>
      </c>
      <c r="F961" s="61" t="s">
        <v>620</v>
      </c>
    </row>
    <row r="962" customFormat="false" ht="15" hidden="false" customHeight="false" outlineLevel="0" collapsed="false">
      <c r="A962" s="92" t="str">
        <f aca="false">Gov_Map!$H206&amp;""</f>
        <v>SRC_MOD_018</v>
      </c>
      <c r="B962" s="73" t="s">
        <v>8482</v>
      </c>
      <c r="C962" s="60" t="n">
        <v>206</v>
      </c>
      <c r="D962" s="60" t="s">
        <v>8483</v>
      </c>
      <c r="E962" s="60" t="s">
        <v>8483</v>
      </c>
      <c r="F962" s="61" t="s">
        <v>620</v>
      </c>
    </row>
    <row r="963" customFormat="false" ht="15" hidden="false" customHeight="false" outlineLevel="0" collapsed="false">
      <c r="A963" s="92" t="str">
        <f aca="false">Gov_Map!$H207&amp;""</f>
        <v>—</v>
      </c>
      <c r="B963" s="73" t="s">
        <v>8482</v>
      </c>
      <c r="C963" s="60" t="n">
        <v>207</v>
      </c>
      <c r="D963" s="60" t="s">
        <v>8483</v>
      </c>
      <c r="E963" s="60" t="s">
        <v>8483</v>
      </c>
      <c r="F963" s="61" t="s">
        <v>620</v>
      </c>
    </row>
    <row r="964" customFormat="false" ht="15" hidden="false" customHeight="false" outlineLevel="0" collapsed="false">
      <c r="A964" s="92" t="str">
        <f aca="false">Gov_Map!$H208&amp;""</f>
        <v>—</v>
      </c>
      <c r="B964" s="73" t="s">
        <v>8482</v>
      </c>
      <c r="C964" s="60" t="n">
        <v>208</v>
      </c>
      <c r="D964" s="60" t="s">
        <v>8483</v>
      </c>
      <c r="E964" s="60" t="s">
        <v>8483</v>
      </c>
      <c r="F964" s="61" t="s">
        <v>620</v>
      </c>
    </row>
    <row r="965" customFormat="false" ht="15" hidden="false" customHeight="false" outlineLevel="0" collapsed="false">
      <c r="A965" s="92" t="str">
        <f aca="false">Gov_Map!$H209&amp;""</f>
        <v>—</v>
      </c>
      <c r="B965" s="73" t="s">
        <v>8482</v>
      </c>
      <c r="C965" s="60" t="n">
        <v>209</v>
      </c>
      <c r="D965" s="60" t="s">
        <v>8483</v>
      </c>
      <c r="E965" s="60" t="s">
        <v>8483</v>
      </c>
      <c r="F965" s="61" t="s">
        <v>620</v>
      </c>
    </row>
    <row r="966" customFormat="false" ht="15" hidden="false" customHeight="false" outlineLevel="0" collapsed="false">
      <c r="A966" s="92" t="str">
        <f aca="false">Gov_Map!$H210&amp;""</f>
        <v>—</v>
      </c>
      <c r="B966" s="73" t="s">
        <v>8482</v>
      </c>
      <c r="C966" s="60" t="n">
        <v>210</v>
      </c>
      <c r="D966" s="60" t="s">
        <v>8483</v>
      </c>
      <c r="E966" s="60" t="s">
        <v>8483</v>
      </c>
      <c r="F966" s="61" t="s">
        <v>620</v>
      </c>
    </row>
    <row r="967" customFormat="false" ht="15" hidden="false" customHeight="false" outlineLevel="0" collapsed="false">
      <c r="A967" s="92" t="str">
        <f aca="false">Gov_Map!$H211&amp;""</f>
        <v>—</v>
      </c>
      <c r="B967" s="73" t="s">
        <v>8482</v>
      </c>
      <c r="C967" s="60" t="n">
        <v>211</v>
      </c>
      <c r="D967" s="60" t="s">
        <v>8483</v>
      </c>
      <c r="E967" s="60" t="s">
        <v>8483</v>
      </c>
      <c r="F967" s="61" t="s">
        <v>620</v>
      </c>
    </row>
    <row r="968" customFormat="false" ht="15" hidden="false" customHeight="false" outlineLevel="0" collapsed="false">
      <c r="A968" s="92" t="str">
        <f aca="false">Gov_Map!$H212&amp;""</f>
        <v>—</v>
      </c>
      <c r="B968" s="73" t="s">
        <v>8482</v>
      </c>
      <c r="C968" s="60" t="n">
        <v>212</v>
      </c>
      <c r="D968" s="60" t="s">
        <v>8483</v>
      </c>
      <c r="E968" s="60" t="s">
        <v>8483</v>
      </c>
      <c r="F968" s="61" t="s">
        <v>620</v>
      </c>
    </row>
    <row r="969" customFormat="false" ht="15" hidden="false" customHeight="false" outlineLevel="0" collapsed="false">
      <c r="A969" s="92" t="str">
        <f aca="false">Gov_Map!$H213&amp;""</f>
        <v>—</v>
      </c>
      <c r="B969" s="73" t="s">
        <v>8482</v>
      </c>
      <c r="C969" s="60" t="n">
        <v>213</v>
      </c>
      <c r="D969" s="60" t="s">
        <v>8483</v>
      </c>
      <c r="E969" s="60" t="s">
        <v>8483</v>
      </c>
      <c r="F969" s="61" t="s">
        <v>620</v>
      </c>
    </row>
    <row r="970" customFormat="false" ht="15" hidden="false" customHeight="false" outlineLevel="0" collapsed="false">
      <c r="A970" s="92" t="str">
        <f aca="false">Gov_Map!$H214&amp;""</f>
        <v>—</v>
      </c>
      <c r="B970" s="73" t="s">
        <v>8482</v>
      </c>
      <c r="C970" s="60" t="n">
        <v>214</v>
      </c>
      <c r="D970" s="60" t="s">
        <v>8483</v>
      </c>
      <c r="E970" s="60" t="s">
        <v>8483</v>
      </c>
      <c r="F970" s="61" t="s">
        <v>620</v>
      </c>
    </row>
    <row r="971" customFormat="false" ht="15" hidden="false" customHeight="false" outlineLevel="0" collapsed="false">
      <c r="A971" s="92" t="str">
        <f aca="false">Gov_Map!$H215&amp;""</f>
        <v>—</v>
      </c>
      <c r="B971" s="73" t="s">
        <v>8482</v>
      </c>
      <c r="C971" s="60" t="n">
        <v>215</v>
      </c>
      <c r="D971" s="60" t="s">
        <v>8483</v>
      </c>
      <c r="E971" s="60" t="s">
        <v>8483</v>
      </c>
      <c r="F971" s="61" t="s">
        <v>620</v>
      </c>
    </row>
    <row r="972" customFormat="false" ht="15" hidden="false" customHeight="false" outlineLevel="0" collapsed="false">
      <c r="A972" s="92" t="str">
        <f aca="false">Gov_Map!$H216&amp;""</f>
        <v>—</v>
      </c>
      <c r="B972" s="73" t="s">
        <v>8482</v>
      </c>
      <c r="C972" s="60" t="n">
        <v>216</v>
      </c>
      <c r="D972" s="60" t="s">
        <v>8483</v>
      </c>
      <c r="E972" s="60" t="s">
        <v>8483</v>
      </c>
      <c r="F972" s="61" t="s">
        <v>620</v>
      </c>
    </row>
    <row r="973" customFormat="false" ht="15" hidden="false" customHeight="false" outlineLevel="0" collapsed="false">
      <c r="A973" s="92" t="str">
        <f aca="false">Gov_Map!$H217&amp;""</f>
        <v>—</v>
      </c>
      <c r="B973" s="73" t="s">
        <v>8482</v>
      </c>
      <c r="C973" s="60" t="n">
        <v>217</v>
      </c>
      <c r="D973" s="60" t="s">
        <v>8483</v>
      </c>
      <c r="E973" s="60" t="s">
        <v>8483</v>
      </c>
      <c r="F973" s="61" t="s">
        <v>620</v>
      </c>
    </row>
    <row r="974" customFormat="false" ht="15" hidden="false" customHeight="false" outlineLevel="0" collapsed="false">
      <c r="A974" s="92" t="str">
        <f aca="false">Gov_Map!$H218&amp;""</f>
        <v>—</v>
      </c>
      <c r="B974" s="73" t="s">
        <v>8482</v>
      </c>
      <c r="C974" s="60" t="n">
        <v>218</v>
      </c>
      <c r="D974" s="60" t="s">
        <v>8483</v>
      </c>
      <c r="E974" s="60" t="s">
        <v>8483</v>
      </c>
      <c r="F974" s="61" t="s">
        <v>620</v>
      </c>
    </row>
    <row r="975" customFormat="false" ht="15" hidden="false" customHeight="false" outlineLevel="0" collapsed="false">
      <c r="A975" s="92" t="str">
        <f aca="false">Gov_Map!$H219&amp;""</f>
        <v>—</v>
      </c>
      <c r="B975" s="73" t="s">
        <v>8482</v>
      </c>
      <c r="C975" s="60" t="n">
        <v>219</v>
      </c>
      <c r="D975" s="60" t="s">
        <v>8483</v>
      </c>
      <c r="E975" s="60" t="s">
        <v>8483</v>
      </c>
      <c r="F975" s="61" t="s">
        <v>620</v>
      </c>
    </row>
    <row r="976" customFormat="false" ht="15" hidden="false" customHeight="false" outlineLevel="0" collapsed="false">
      <c r="A976" s="92" t="str">
        <f aca="false">Gov_Map!$H220&amp;""</f>
        <v>—</v>
      </c>
      <c r="B976" s="73" t="s">
        <v>8482</v>
      </c>
      <c r="C976" s="60" t="n">
        <v>220</v>
      </c>
      <c r="D976" s="60" t="s">
        <v>8483</v>
      </c>
      <c r="E976" s="60" t="s">
        <v>8483</v>
      </c>
      <c r="F976" s="61" t="s">
        <v>620</v>
      </c>
    </row>
    <row r="977" customFormat="false" ht="15" hidden="false" customHeight="false" outlineLevel="0" collapsed="false">
      <c r="A977" s="92" t="str">
        <f aca="false">Gov_Map!$H221&amp;""</f>
        <v>—</v>
      </c>
      <c r="B977" s="73" t="s">
        <v>8482</v>
      </c>
      <c r="C977" s="60" t="n">
        <v>221</v>
      </c>
      <c r="D977" s="60" t="s">
        <v>8483</v>
      </c>
      <c r="E977" s="60" t="s">
        <v>8483</v>
      </c>
      <c r="F977" s="61" t="s">
        <v>620</v>
      </c>
    </row>
    <row r="978" customFormat="false" ht="15" hidden="false" customHeight="false" outlineLevel="0" collapsed="false">
      <c r="A978" s="92" t="str">
        <f aca="false">Gov_Map!$H222&amp;""</f>
        <v>—</v>
      </c>
      <c r="B978" s="73" t="s">
        <v>8482</v>
      </c>
      <c r="C978" s="60" t="n">
        <v>222</v>
      </c>
      <c r="D978" s="60" t="s">
        <v>8483</v>
      </c>
      <c r="E978" s="60" t="s">
        <v>8483</v>
      </c>
      <c r="F978" s="61" t="s">
        <v>620</v>
      </c>
    </row>
    <row r="979" customFormat="false" ht="15" hidden="false" customHeight="false" outlineLevel="0" collapsed="false">
      <c r="A979" s="92" t="str">
        <f aca="false">Gov_Map!$H223&amp;""</f>
        <v>—</v>
      </c>
      <c r="B979" s="73" t="s">
        <v>8482</v>
      </c>
      <c r="C979" s="60" t="n">
        <v>223</v>
      </c>
      <c r="D979" s="60" t="s">
        <v>8483</v>
      </c>
      <c r="E979" s="60" t="s">
        <v>8483</v>
      </c>
      <c r="F979" s="61" t="s">
        <v>620</v>
      </c>
    </row>
    <row r="980" customFormat="false" ht="15" hidden="false" customHeight="false" outlineLevel="0" collapsed="false">
      <c r="A980" s="92" t="str">
        <f aca="false">Gov_Map!$H224&amp;""</f>
        <v>—</v>
      </c>
      <c r="B980" s="73" t="s">
        <v>8482</v>
      </c>
      <c r="C980" s="60" t="n">
        <v>224</v>
      </c>
      <c r="D980" s="60" t="s">
        <v>8483</v>
      </c>
      <c r="E980" s="60" t="s">
        <v>8483</v>
      </c>
      <c r="F980" s="61" t="s">
        <v>620</v>
      </c>
    </row>
    <row r="981" customFormat="false" ht="15" hidden="false" customHeight="false" outlineLevel="0" collapsed="false">
      <c r="A981" s="92" t="str">
        <f aca="false">Gov_Map!$H225&amp;""</f>
        <v>—</v>
      </c>
      <c r="B981" s="73" t="s">
        <v>8482</v>
      </c>
      <c r="C981" s="60" t="n">
        <v>225</v>
      </c>
      <c r="D981" s="60" t="s">
        <v>8483</v>
      </c>
      <c r="E981" s="60" t="s">
        <v>8483</v>
      </c>
      <c r="F981" s="61" t="s">
        <v>620</v>
      </c>
    </row>
    <row r="982" customFormat="false" ht="15" hidden="false" customHeight="false" outlineLevel="0" collapsed="false">
      <c r="A982" s="92" t="str">
        <f aca="false">Gov_Map!$H226&amp;""</f>
        <v>—</v>
      </c>
      <c r="B982" s="73" t="s">
        <v>8482</v>
      </c>
      <c r="C982" s="60" t="n">
        <v>226</v>
      </c>
      <c r="D982" s="60" t="s">
        <v>8483</v>
      </c>
      <c r="E982" s="60" t="s">
        <v>8483</v>
      </c>
      <c r="F982" s="61" t="s">
        <v>620</v>
      </c>
    </row>
    <row r="983" customFormat="false" ht="15" hidden="false" customHeight="false" outlineLevel="0" collapsed="false">
      <c r="A983" s="92" t="str">
        <f aca="false">Gov_Map!$H227&amp;""</f>
        <v>—</v>
      </c>
      <c r="B983" s="73" t="s">
        <v>8482</v>
      </c>
      <c r="C983" s="60" t="n">
        <v>227</v>
      </c>
      <c r="D983" s="60" t="s">
        <v>8483</v>
      </c>
      <c r="E983" s="60" t="s">
        <v>8483</v>
      </c>
      <c r="F983" s="61" t="s">
        <v>620</v>
      </c>
    </row>
    <row r="984" customFormat="false" ht="15" hidden="false" customHeight="false" outlineLevel="0" collapsed="false">
      <c r="A984" s="92" t="str">
        <f aca="false">Gov_Map!$H228&amp;""</f>
        <v>—</v>
      </c>
      <c r="B984" s="73" t="s">
        <v>8482</v>
      </c>
      <c r="C984" s="60" t="n">
        <v>228</v>
      </c>
      <c r="D984" s="60" t="s">
        <v>8483</v>
      </c>
      <c r="E984" s="60" t="s">
        <v>8483</v>
      </c>
      <c r="F984" s="61" t="s">
        <v>620</v>
      </c>
    </row>
    <row r="985" customFormat="false" ht="15" hidden="false" customHeight="false" outlineLevel="0" collapsed="false">
      <c r="A985" s="92" t="str">
        <f aca="false">Gov_Map!$H229&amp;""</f>
        <v>—</v>
      </c>
      <c r="B985" s="73" t="s">
        <v>8482</v>
      </c>
      <c r="C985" s="60" t="n">
        <v>229</v>
      </c>
      <c r="D985" s="60" t="s">
        <v>8483</v>
      </c>
      <c r="E985" s="60" t="s">
        <v>8483</v>
      </c>
      <c r="F985" s="61" t="s">
        <v>620</v>
      </c>
    </row>
    <row r="986" customFormat="false" ht="15" hidden="false" customHeight="false" outlineLevel="0" collapsed="false">
      <c r="A986" s="92" t="str">
        <f aca="false">Gov_Map!$H230&amp;""</f>
        <v>—</v>
      </c>
      <c r="B986" s="73" t="s">
        <v>8482</v>
      </c>
      <c r="C986" s="60" t="n">
        <v>230</v>
      </c>
      <c r="D986" s="60" t="s">
        <v>8483</v>
      </c>
      <c r="E986" s="60" t="s">
        <v>8483</v>
      </c>
      <c r="F986" s="61" t="s">
        <v>620</v>
      </c>
    </row>
    <row r="987" customFormat="false" ht="15" hidden="false" customHeight="false" outlineLevel="0" collapsed="false">
      <c r="A987" s="92" t="str">
        <f aca="false">Gov_Map!$H231&amp;""</f>
        <v>SRC_PERF_035</v>
      </c>
      <c r="B987" s="73" t="s">
        <v>8482</v>
      </c>
      <c r="C987" s="60" t="n">
        <v>231</v>
      </c>
      <c r="D987" s="60" t="s">
        <v>8483</v>
      </c>
      <c r="E987" s="60" t="s">
        <v>8483</v>
      </c>
      <c r="F987" s="61" t="s">
        <v>620</v>
      </c>
    </row>
    <row r="988" customFormat="false" ht="15" hidden="false" customHeight="false" outlineLevel="0" collapsed="false">
      <c r="A988" s="92" t="str">
        <f aca="false">Gov_Map!$H232&amp;""</f>
        <v>SRC_PERF_005</v>
      </c>
      <c r="B988" s="73" t="s">
        <v>8482</v>
      </c>
      <c r="C988" s="60" t="n">
        <v>232</v>
      </c>
      <c r="D988" s="60" t="s">
        <v>8483</v>
      </c>
      <c r="E988" s="60" t="s">
        <v>8483</v>
      </c>
      <c r="F988" s="61" t="s">
        <v>620</v>
      </c>
    </row>
    <row r="989" customFormat="false" ht="15" hidden="false" customHeight="false" outlineLevel="0" collapsed="false">
      <c r="A989" s="92" t="str">
        <f aca="false">Gov_Map!$H233&amp;""</f>
        <v>—</v>
      </c>
      <c r="B989" s="73" t="s">
        <v>8482</v>
      </c>
      <c r="C989" s="60" t="n">
        <v>233</v>
      </c>
      <c r="D989" s="60" t="s">
        <v>8483</v>
      </c>
      <c r="E989" s="60" t="s">
        <v>8483</v>
      </c>
      <c r="F989" s="61" t="s">
        <v>620</v>
      </c>
    </row>
    <row r="990" customFormat="false" ht="15" hidden="false" customHeight="false" outlineLevel="0" collapsed="false">
      <c r="A990" s="92" t="str">
        <f aca="false">Gov_Map!$H234&amp;""</f>
        <v>—</v>
      </c>
      <c r="B990" s="73" t="s">
        <v>8482</v>
      </c>
      <c r="C990" s="60" t="n">
        <v>234</v>
      </c>
      <c r="D990" s="60" t="s">
        <v>8483</v>
      </c>
      <c r="E990" s="60" t="s">
        <v>8483</v>
      </c>
      <c r="F990" s="61" t="s">
        <v>620</v>
      </c>
    </row>
    <row r="991" customFormat="false" ht="15" hidden="false" customHeight="false" outlineLevel="0" collapsed="false">
      <c r="A991" s="92" t="str">
        <f aca="false">Gov_Map!$H235&amp;""</f>
        <v>—</v>
      </c>
      <c r="B991" s="73" t="s">
        <v>8482</v>
      </c>
      <c r="C991" s="60" t="n">
        <v>235</v>
      </c>
      <c r="D991" s="60" t="s">
        <v>8483</v>
      </c>
      <c r="E991" s="60" t="s">
        <v>8483</v>
      </c>
      <c r="F991" s="61" t="s">
        <v>620</v>
      </c>
    </row>
    <row r="992" customFormat="false" ht="15" hidden="false" customHeight="false" outlineLevel="0" collapsed="false">
      <c r="A992" s="92" t="str">
        <f aca="false">Gov_Map!$H236&amp;""</f>
        <v>—</v>
      </c>
      <c r="B992" s="73" t="s">
        <v>8482</v>
      </c>
      <c r="C992" s="60" t="n">
        <v>236</v>
      </c>
      <c r="D992" s="60" t="s">
        <v>8483</v>
      </c>
      <c r="E992" s="60" t="s">
        <v>8483</v>
      </c>
      <c r="F992" s="61" t="s">
        <v>620</v>
      </c>
    </row>
    <row r="993" customFormat="false" ht="15" hidden="false" customHeight="false" outlineLevel="0" collapsed="false">
      <c r="A993" s="92" t="str">
        <f aca="false">Gov_Map!$H237&amp;""</f>
        <v>—</v>
      </c>
      <c r="B993" s="73" t="s">
        <v>8482</v>
      </c>
      <c r="C993" s="60" t="n">
        <v>237</v>
      </c>
      <c r="D993" s="60" t="s">
        <v>8483</v>
      </c>
      <c r="E993" s="60" t="s">
        <v>8483</v>
      </c>
      <c r="F993" s="61" t="s">
        <v>620</v>
      </c>
    </row>
    <row r="994" customFormat="false" ht="15" hidden="false" customHeight="false" outlineLevel="0" collapsed="false">
      <c r="A994" s="92" t="str">
        <f aca="false">Gov_Map!$H238&amp;""</f>
        <v>—</v>
      </c>
      <c r="B994" s="73" t="s">
        <v>8482</v>
      </c>
      <c r="C994" s="60" t="n">
        <v>238</v>
      </c>
      <c r="D994" s="60" t="s">
        <v>8483</v>
      </c>
      <c r="E994" s="60" t="s">
        <v>8483</v>
      </c>
      <c r="F994" s="61" t="s">
        <v>620</v>
      </c>
    </row>
    <row r="995" customFormat="false" ht="15" hidden="false" customHeight="false" outlineLevel="0" collapsed="false">
      <c r="A995" s="92" t="str">
        <f aca="false">Gov_Map!$H239&amp;""</f>
        <v>—</v>
      </c>
      <c r="B995" s="73" t="s">
        <v>8482</v>
      </c>
      <c r="C995" s="60" t="n">
        <v>239</v>
      </c>
      <c r="D995" s="60" t="s">
        <v>8483</v>
      </c>
      <c r="E995" s="60" t="s">
        <v>8483</v>
      </c>
      <c r="F995" s="61" t="s">
        <v>620</v>
      </c>
    </row>
    <row r="996" customFormat="false" ht="15" hidden="false" customHeight="false" outlineLevel="0" collapsed="false">
      <c r="A996" s="92" t="str">
        <f aca="false">Gov_Map!$H240&amp;""</f>
        <v>—</v>
      </c>
      <c r="B996" s="73" t="s">
        <v>8482</v>
      </c>
      <c r="C996" s="60" t="n">
        <v>240</v>
      </c>
      <c r="D996" s="60" t="s">
        <v>8483</v>
      </c>
      <c r="E996" s="60" t="s">
        <v>8483</v>
      </c>
      <c r="F996" s="61" t="s">
        <v>620</v>
      </c>
    </row>
    <row r="997" customFormat="false" ht="15" hidden="false" customHeight="false" outlineLevel="0" collapsed="false">
      <c r="A997" s="92" t="str">
        <f aca="false">Gov_Map!$H241&amp;""</f>
        <v>—</v>
      </c>
      <c r="B997" s="73" t="s">
        <v>8482</v>
      </c>
      <c r="C997" s="60" t="n">
        <v>241</v>
      </c>
      <c r="D997" s="60" t="s">
        <v>8483</v>
      </c>
      <c r="E997" s="60" t="s">
        <v>8483</v>
      </c>
      <c r="F997" s="61" t="s">
        <v>620</v>
      </c>
    </row>
    <row r="998" customFormat="false" ht="15" hidden="false" customHeight="false" outlineLevel="0" collapsed="false">
      <c r="A998" s="92" t="str">
        <f aca="false">Gov_Map!$H242&amp;""</f>
        <v>—</v>
      </c>
      <c r="B998" s="73" t="s">
        <v>8482</v>
      </c>
      <c r="C998" s="60" t="n">
        <v>242</v>
      </c>
      <c r="D998" s="60" t="s">
        <v>8483</v>
      </c>
      <c r="E998" s="60" t="s">
        <v>8483</v>
      </c>
      <c r="F998" s="61" t="s">
        <v>620</v>
      </c>
    </row>
    <row r="999" customFormat="false" ht="15" hidden="false" customHeight="false" outlineLevel="0" collapsed="false">
      <c r="A999" s="92" t="str">
        <f aca="false">Gov_Map!$H243&amp;""</f>
        <v>SRC_PERF_018</v>
      </c>
      <c r="B999" s="73" t="s">
        <v>8482</v>
      </c>
      <c r="C999" s="60" t="n">
        <v>243</v>
      </c>
      <c r="D999" s="60" t="s">
        <v>8483</v>
      </c>
      <c r="E999" s="60" t="s">
        <v>8483</v>
      </c>
      <c r="F999" s="61" t="s">
        <v>620</v>
      </c>
    </row>
    <row r="1000" customFormat="false" ht="15" hidden="false" customHeight="false" outlineLevel="0" collapsed="false">
      <c r="A1000" s="92" t="str">
        <f aca="false">Gov_Map!$H244&amp;""</f>
        <v>SRC_PERF_019</v>
      </c>
      <c r="B1000" s="73" t="s">
        <v>8482</v>
      </c>
      <c r="C1000" s="60" t="n">
        <v>244</v>
      </c>
      <c r="D1000" s="60" t="s">
        <v>8483</v>
      </c>
      <c r="E1000" s="60" t="s">
        <v>8483</v>
      </c>
      <c r="F1000" s="61" t="s">
        <v>620</v>
      </c>
    </row>
    <row r="1001" customFormat="false" ht="15" hidden="false" customHeight="false" outlineLevel="0" collapsed="false">
      <c r="A1001" s="92" t="str">
        <f aca="false">Gov_Map!$H245&amp;""</f>
        <v>SRC_PERF_020</v>
      </c>
      <c r="B1001" s="73" t="s">
        <v>8482</v>
      </c>
      <c r="C1001" s="60" t="n">
        <v>245</v>
      </c>
      <c r="D1001" s="60" t="s">
        <v>8483</v>
      </c>
      <c r="E1001" s="60" t="s">
        <v>8483</v>
      </c>
      <c r="F1001" s="61" t="s">
        <v>620</v>
      </c>
    </row>
    <row r="1002" customFormat="false" ht="15" hidden="false" customHeight="false" outlineLevel="0" collapsed="false">
      <c r="A1002" s="92" t="str">
        <f aca="false">Gov_Map!$H246&amp;""</f>
        <v>—</v>
      </c>
      <c r="B1002" s="73" t="s">
        <v>8482</v>
      </c>
      <c r="C1002" s="60" t="n">
        <v>246</v>
      </c>
      <c r="D1002" s="60" t="s">
        <v>8483</v>
      </c>
      <c r="E1002" s="60" t="s">
        <v>8483</v>
      </c>
      <c r="F1002" s="61" t="s">
        <v>620</v>
      </c>
    </row>
    <row r="1003" customFormat="false" ht="15" hidden="false" customHeight="false" outlineLevel="0" collapsed="false">
      <c r="A1003" s="92" t="str">
        <f aca="false">Gov_Map!$H247&amp;""</f>
        <v>—</v>
      </c>
      <c r="B1003" s="73" t="s">
        <v>8482</v>
      </c>
      <c r="C1003" s="60" t="n">
        <v>247</v>
      </c>
      <c r="D1003" s="60" t="s">
        <v>8483</v>
      </c>
      <c r="E1003" s="60" t="s">
        <v>8483</v>
      </c>
      <c r="F1003" s="61" t="s">
        <v>620</v>
      </c>
    </row>
    <row r="1004" customFormat="false" ht="15" hidden="false" customHeight="false" outlineLevel="0" collapsed="false">
      <c r="A1004" s="92" t="str">
        <f aca="false">Gov_Map!$H248&amp;""</f>
        <v>—</v>
      </c>
      <c r="B1004" s="73" t="s">
        <v>8482</v>
      </c>
      <c r="C1004" s="60" t="n">
        <v>248</v>
      </c>
      <c r="D1004" s="60" t="s">
        <v>8483</v>
      </c>
      <c r="E1004" s="60" t="s">
        <v>8483</v>
      </c>
      <c r="F1004" s="61" t="s">
        <v>620</v>
      </c>
    </row>
    <row r="1005" customFormat="false" ht="15" hidden="false" customHeight="false" outlineLevel="0" collapsed="false">
      <c r="A1005" s="92" t="str">
        <f aca="false">Gov_Map!$H249&amp;""</f>
        <v>—</v>
      </c>
      <c r="B1005" s="73" t="s">
        <v>8482</v>
      </c>
      <c r="C1005" s="60" t="n">
        <v>249</v>
      </c>
      <c r="D1005" s="60" t="s">
        <v>8483</v>
      </c>
      <c r="E1005" s="60" t="s">
        <v>8483</v>
      </c>
      <c r="F1005" s="61" t="s">
        <v>620</v>
      </c>
    </row>
    <row r="1006" customFormat="false" ht="15" hidden="false" customHeight="false" outlineLevel="0" collapsed="false">
      <c r="A1006" s="92" t="str">
        <f aca="false">Gov_Map!$H250&amp;""</f>
        <v>—</v>
      </c>
      <c r="B1006" s="73" t="s">
        <v>8482</v>
      </c>
      <c r="C1006" s="60" t="n">
        <v>250</v>
      </c>
      <c r="D1006" s="60" t="s">
        <v>8483</v>
      </c>
      <c r="E1006" s="60" t="s">
        <v>8483</v>
      </c>
      <c r="F1006" s="61" t="s">
        <v>620</v>
      </c>
    </row>
    <row r="1007" customFormat="false" ht="15" hidden="false" customHeight="false" outlineLevel="0" collapsed="false">
      <c r="A1007" s="92" t="str">
        <f aca="false">Gov_Map!$H251&amp;""</f>
        <v>—</v>
      </c>
      <c r="B1007" s="73" t="s">
        <v>8482</v>
      </c>
      <c r="C1007" s="60" t="n">
        <v>251</v>
      </c>
      <c r="D1007" s="60" t="s">
        <v>8483</v>
      </c>
      <c r="E1007" s="60" t="s">
        <v>8483</v>
      </c>
      <c r="F1007" s="61" t="s">
        <v>620</v>
      </c>
    </row>
    <row r="1008" customFormat="false" ht="15" hidden="false" customHeight="false" outlineLevel="0" collapsed="false">
      <c r="A1008" s="92" t="str">
        <f aca="false">Gov_Map!$H252&amp;""</f>
        <v>—</v>
      </c>
      <c r="B1008" s="73" t="s">
        <v>8482</v>
      </c>
      <c r="C1008" s="60" t="n">
        <v>252</v>
      </c>
      <c r="D1008" s="60" t="s">
        <v>8483</v>
      </c>
      <c r="E1008" s="60" t="s">
        <v>8483</v>
      </c>
      <c r="F1008" s="61" t="s">
        <v>620</v>
      </c>
    </row>
    <row r="1009" customFormat="false" ht="15" hidden="false" customHeight="false" outlineLevel="0" collapsed="false">
      <c r="A1009" s="92" t="str">
        <f aca="false">Gov_Map!$H253&amp;""</f>
        <v>—</v>
      </c>
      <c r="B1009" s="73" t="s">
        <v>8482</v>
      </c>
      <c r="C1009" s="60" t="n">
        <v>253</v>
      </c>
      <c r="D1009" s="60" t="s">
        <v>8483</v>
      </c>
      <c r="E1009" s="60" t="s">
        <v>8483</v>
      </c>
      <c r="F1009" s="61" t="s">
        <v>620</v>
      </c>
    </row>
    <row r="1010" customFormat="false" ht="15" hidden="false" customHeight="false" outlineLevel="0" collapsed="false">
      <c r="A1010" s="92" t="str">
        <f aca="false">Gov_Map!$H254&amp;""</f>
        <v>—</v>
      </c>
      <c r="B1010" s="73" t="s">
        <v>8482</v>
      </c>
      <c r="C1010" s="60" t="n">
        <v>254</v>
      </c>
      <c r="D1010" s="60" t="s">
        <v>8483</v>
      </c>
      <c r="E1010" s="60" t="s">
        <v>8483</v>
      </c>
      <c r="F1010" s="61" t="s">
        <v>620</v>
      </c>
    </row>
    <row r="1011" customFormat="false" ht="15" hidden="false" customHeight="false" outlineLevel="0" collapsed="false">
      <c r="A1011" s="92" t="str">
        <f aca="false">Gov_Map!$H255&amp;""</f>
        <v>—</v>
      </c>
      <c r="B1011" s="73" t="s">
        <v>8482</v>
      </c>
      <c r="C1011" s="60" t="n">
        <v>255</v>
      </c>
      <c r="D1011" s="60" t="s">
        <v>8483</v>
      </c>
      <c r="E1011" s="60" t="s">
        <v>8483</v>
      </c>
      <c r="F1011" s="61" t="s">
        <v>620</v>
      </c>
    </row>
    <row r="1012" customFormat="false" ht="15" hidden="false" customHeight="false" outlineLevel="0" collapsed="false">
      <c r="A1012" s="92" t="str">
        <f aca="false">Gov_Map!$H256&amp;""</f>
        <v>—</v>
      </c>
      <c r="B1012" s="73" t="s">
        <v>8482</v>
      </c>
      <c r="C1012" s="60" t="n">
        <v>256</v>
      </c>
      <c r="D1012" s="60" t="s">
        <v>8483</v>
      </c>
      <c r="E1012" s="60" t="s">
        <v>8483</v>
      </c>
      <c r="F1012" s="61" t="s">
        <v>620</v>
      </c>
    </row>
    <row r="1013" customFormat="false" ht="15" hidden="false" customHeight="false" outlineLevel="0" collapsed="false">
      <c r="A1013" s="92" t="str">
        <f aca="false">Gov_Map!$H257&amp;""</f>
        <v>—</v>
      </c>
      <c r="B1013" s="73" t="s">
        <v>8482</v>
      </c>
      <c r="C1013" s="60" t="n">
        <v>257</v>
      </c>
      <c r="D1013" s="60" t="s">
        <v>8483</v>
      </c>
      <c r="E1013" s="60" t="s">
        <v>8483</v>
      </c>
      <c r="F1013" s="61" t="s">
        <v>620</v>
      </c>
    </row>
    <row r="1014" customFormat="false" ht="15" hidden="false" customHeight="false" outlineLevel="0" collapsed="false">
      <c r="A1014" s="92" t="str">
        <f aca="false">Gov_Map!$H258&amp;""</f>
        <v>—</v>
      </c>
      <c r="B1014" s="73" t="s">
        <v>8482</v>
      </c>
      <c r="C1014" s="60" t="n">
        <v>258</v>
      </c>
      <c r="D1014" s="60" t="s">
        <v>8483</v>
      </c>
      <c r="E1014" s="60" t="s">
        <v>8483</v>
      </c>
      <c r="F1014" s="61" t="s">
        <v>620</v>
      </c>
    </row>
    <row r="1015" customFormat="false" ht="15" hidden="false" customHeight="false" outlineLevel="0" collapsed="false">
      <c r="A1015" s="92" t="str">
        <f aca="false">Gov_Map!$H259&amp;""</f>
        <v>—</v>
      </c>
      <c r="B1015" s="73" t="s">
        <v>8482</v>
      </c>
      <c r="C1015" s="60" t="n">
        <v>259</v>
      </c>
      <c r="D1015" s="60" t="s">
        <v>8483</v>
      </c>
      <c r="E1015" s="60" t="s">
        <v>8483</v>
      </c>
      <c r="F1015" s="61" t="s">
        <v>620</v>
      </c>
    </row>
    <row r="1016" customFormat="false" ht="15" hidden="false" customHeight="false" outlineLevel="0" collapsed="false">
      <c r="A1016" s="92" t="str">
        <f aca="false">Gov_Map!$H260&amp;""</f>
        <v>—</v>
      </c>
      <c r="B1016" s="73" t="s">
        <v>8482</v>
      </c>
      <c r="C1016" s="60" t="n">
        <v>260</v>
      </c>
      <c r="D1016" s="60" t="s">
        <v>8483</v>
      </c>
      <c r="E1016" s="60" t="s">
        <v>8483</v>
      </c>
      <c r="F1016" s="61" t="s">
        <v>620</v>
      </c>
    </row>
    <row r="1017" customFormat="false" ht="15" hidden="false" customHeight="false" outlineLevel="0" collapsed="false">
      <c r="A1017" s="92" t="str">
        <f aca="false">Gov_Map!$H261&amp;""</f>
        <v>—</v>
      </c>
      <c r="B1017" s="73" t="s">
        <v>8482</v>
      </c>
      <c r="C1017" s="60" t="n">
        <v>261</v>
      </c>
      <c r="D1017" s="60" t="s">
        <v>8483</v>
      </c>
      <c r="E1017" s="60" t="s">
        <v>8483</v>
      </c>
      <c r="F1017" s="61" t="s">
        <v>620</v>
      </c>
    </row>
    <row r="1018" customFormat="false" ht="15" hidden="false" customHeight="false" outlineLevel="0" collapsed="false">
      <c r="A1018" s="92" t="str">
        <f aca="false">Gov_Map!$H262&amp;""</f>
        <v>—</v>
      </c>
      <c r="B1018" s="73" t="s">
        <v>8482</v>
      </c>
      <c r="C1018" s="60" t="n">
        <v>262</v>
      </c>
      <c r="D1018" s="60" t="s">
        <v>8483</v>
      </c>
      <c r="E1018" s="60" t="s">
        <v>8483</v>
      </c>
      <c r="F1018" s="61" t="s">
        <v>620</v>
      </c>
    </row>
    <row r="1019" customFormat="false" ht="15" hidden="false" customHeight="false" outlineLevel="0" collapsed="false">
      <c r="A1019" s="92" t="str">
        <f aca="false">Gov_Map!$H263&amp;""</f>
        <v>—</v>
      </c>
      <c r="B1019" s="73" t="s">
        <v>8482</v>
      </c>
      <c r="C1019" s="60" t="n">
        <v>263</v>
      </c>
      <c r="D1019" s="60" t="s">
        <v>8483</v>
      </c>
      <c r="E1019" s="60" t="s">
        <v>8483</v>
      </c>
      <c r="F1019" s="61" t="s">
        <v>620</v>
      </c>
    </row>
    <row r="1020" customFormat="false" ht="15" hidden="false" customHeight="false" outlineLevel="0" collapsed="false">
      <c r="A1020" s="92" t="str">
        <f aca="false">Gov_Map!$H264&amp;""</f>
        <v>—</v>
      </c>
      <c r="B1020" s="73" t="s">
        <v>8482</v>
      </c>
      <c r="C1020" s="60" t="n">
        <v>264</v>
      </c>
      <c r="D1020" s="60" t="s">
        <v>8483</v>
      </c>
      <c r="E1020" s="60" t="s">
        <v>8483</v>
      </c>
      <c r="F1020" s="61" t="s">
        <v>620</v>
      </c>
    </row>
    <row r="1021" customFormat="false" ht="15" hidden="false" customHeight="false" outlineLevel="0" collapsed="false">
      <c r="A1021" s="92" t="str">
        <f aca="false">Gov_Map!$H265&amp;""</f>
        <v>—</v>
      </c>
      <c r="B1021" s="73" t="s">
        <v>8482</v>
      </c>
      <c r="C1021" s="60" t="n">
        <v>265</v>
      </c>
      <c r="D1021" s="60" t="s">
        <v>8483</v>
      </c>
      <c r="E1021" s="60" t="s">
        <v>8483</v>
      </c>
      <c r="F1021" s="61" t="s">
        <v>620</v>
      </c>
    </row>
    <row r="1022" customFormat="false" ht="15" hidden="false" customHeight="false" outlineLevel="0" collapsed="false">
      <c r="A1022" s="92" t="str">
        <f aca="false">Gov_Map!$H266&amp;""</f>
        <v>—</v>
      </c>
      <c r="B1022" s="73" t="s">
        <v>8482</v>
      </c>
      <c r="C1022" s="60" t="n">
        <v>266</v>
      </c>
      <c r="D1022" s="60" t="s">
        <v>8483</v>
      </c>
      <c r="E1022" s="60" t="s">
        <v>8483</v>
      </c>
      <c r="F1022" s="61" t="s">
        <v>620</v>
      </c>
    </row>
    <row r="1023" customFormat="false" ht="15" hidden="false" customHeight="false" outlineLevel="0" collapsed="false">
      <c r="A1023" s="92" t="str">
        <f aca="false">Gov_Map!$H267&amp;""</f>
        <v>—</v>
      </c>
      <c r="B1023" s="73" t="s">
        <v>8482</v>
      </c>
      <c r="C1023" s="60" t="n">
        <v>267</v>
      </c>
      <c r="D1023" s="60" t="s">
        <v>8483</v>
      </c>
      <c r="E1023" s="60" t="s">
        <v>8483</v>
      </c>
      <c r="F1023" s="61" t="s">
        <v>620</v>
      </c>
    </row>
    <row r="1024" customFormat="false" ht="15" hidden="false" customHeight="false" outlineLevel="0" collapsed="false">
      <c r="A1024" s="92" t="str">
        <f aca="false">Gov_Map!$H268&amp;""</f>
        <v>—</v>
      </c>
      <c r="B1024" s="73" t="s">
        <v>8482</v>
      </c>
      <c r="C1024" s="60" t="n">
        <v>268</v>
      </c>
      <c r="D1024" s="60" t="s">
        <v>8483</v>
      </c>
      <c r="E1024" s="60" t="s">
        <v>8483</v>
      </c>
      <c r="F1024" s="61" t="s">
        <v>620</v>
      </c>
    </row>
    <row r="1025" customFormat="false" ht="15" hidden="false" customHeight="false" outlineLevel="0" collapsed="false">
      <c r="A1025" s="92" t="str">
        <f aca="false">Gov_Map!$H269&amp;""</f>
        <v>—</v>
      </c>
      <c r="B1025" s="73" t="s">
        <v>8482</v>
      </c>
      <c r="C1025" s="60" t="n">
        <v>269</v>
      </c>
      <c r="D1025" s="60" t="s">
        <v>8483</v>
      </c>
      <c r="E1025" s="60" t="s">
        <v>8483</v>
      </c>
      <c r="F1025" s="61" t="s">
        <v>620</v>
      </c>
    </row>
    <row r="1026" customFormat="false" ht="15" hidden="false" customHeight="false" outlineLevel="0" collapsed="false">
      <c r="A1026" s="92" t="str">
        <f aca="false">Gov_Map!$H270&amp;""</f>
        <v>—</v>
      </c>
      <c r="B1026" s="73" t="s">
        <v>8482</v>
      </c>
      <c r="C1026" s="60" t="n">
        <v>270</v>
      </c>
      <c r="D1026" s="60" t="s">
        <v>8483</v>
      </c>
      <c r="E1026" s="60" t="s">
        <v>8483</v>
      </c>
      <c r="F1026" s="61" t="s">
        <v>620</v>
      </c>
    </row>
    <row r="1027" customFormat="false" ht="15" hidden="false" customHeight="false" outlineLevel="0" collapsed="false">
      <c r="A1027" s="92" t="str">
        <f aca="false">Gov_Map!$H271&amp;""</f>
        <v>—</v>
      </c>
      <c r="B1027" s="73" t="s">
        <v>8482</v>
      </c>
      <c r="C1027" s="60" t="n">
        <v>271</v>
      </c>
      <c r="D1027" s="60" t="s">
        <v>8483</v>
      </c>
      <c r="E1027" s="60" t="s">
        <v>8483</v>
      </c>
      <c r="F1027" s="61" t="s">
        <v>620</v>
      </c>
    </row>
    <row r="1028" customFormat="false" ht="15" hidden="false" customHeight="false" outlineLevel="0" collapsed="false">
      <c r="A1028" s="92" t="str">
        <f aca="false">Gov_Map!$H272&amp;""</f>
        <v>—</v>
      </c>
      <c r="B1028" s="73" t="s">
        <v>8482</v>
      </c>
      <c r="C1028" s="60" t="n">
        <v>272</v>
      </c>
      <c r="D1028" s="60" t="s">
        <v>8483</v>
      </c>
      <c r="E1028" s="60" t="s">
        <v>8483</v>
      </c>
      <c r="F1028" s="61" t="s">
        <v>620</v>
      </c>
    </row>
    <row r="1029" customFormat="false" ht="15" hidden="false" customHeight="false" outlineLevel="0" collapsed="false">
      <c r="A1029" s="92" t="str">
        <f aca="false">Gov_Map!$H273&amp;""</f>
        <v>—</v>
      </c>
      <c r="B1029" s="73" t="s">
        <v>8482</v>
      </c>
      <c r="C1029" s="60" t="n">
        <v>273</v>
      </c>
      <c r="D1029" s="60" t="s">
        <v>8483</v>
      </c>
      <c r="E1029" s="60" t="s">
        <v>8483</v>
      </c>
      <c r="F1029" s="61" t="s">
        <v>620</v>
      </c>
    </row>
    <row r="1030" customFormat="false" ht="15" hidden="false" customHeight="false" outlineLevel="0" collapsed="false">
      <c r="A1030" s="92" t="str">
        <f aca="false">Gov_Map!$H274&amp;""</f>
        <v>—</v>
      </c>
      <c r="B1030" s="73" t="s">
        <v>8482</v>
      </c>
      <c r="C1030" s="60" t="n">
        <v>274</v>
      </c>
      <c r="D1030" s="60" t="s">
        <v>8483</v>
      </c>
      <c r="E1030" s="60" t="s">
        <v>8483</v>
      </c>
      <c r="F1030" s="61" t="s">
        <v>620</v>
      </c>
    </row>
    <row r="1031" customFormat="false" ht="15" hidden="false" customHeight="false" outlineLevel="0" collapsed="false">
      <c r="A1031" s="92" t="str">
        <f aca="false">Gov_Map!$H275&amp;""</f>
        <v>—</v>
      </c>
      <c r="B1031" s="73" t="s">
        <v>8482</v>
      </c>
      <c r="C1031" s="60" t="n">
        <v>275</v>
      </c>
      <c r="D1031" s="60" t="s">
        <v>8483</v>
      </c>
      <c r="E1031" s="60" t="s">
        <v>8483</v>
      </c>
      <c r="F1031" s="61" t="s">
        <v>620</v>
      </c>
    </row>
    <row r="1032" customFormat="false" ht="15" hidden="false" customHeight="false" outlineLevel="0" collapsed="false">
      <c r="A1032" s="92" t="str">
        <f aca="false">Gov_Map!$H276&amp;""</f>
        <v>—</v>
      </c>
      <c r="B1032" s="73" t="s">
        <v>8482</v>
      </c>
      <c r="C1032" s="60" t="n">
        <v>276</v>
      </c>
      <c r="D1032" s="60" t="s">
        <v>8483</v>
      </c>
      <c r="E1032" s="60" t="s">
        <v>8483</v>
      </c>
      <c r="F1032" s="61" t="s">
        <v>620</v>
      </c>
    </row>
    <row r="1033" customFormat="false" ht="15" hidden="false" customHeight="false" outlineLevel="0" collapsed="false">
      <c r="A1033" s="92" t="str">
        <f aca="false">Gov_Map!$H277&amp;""</f>
        <v>—</v>
      </c>
      <c r="B1033" s="73" t="s">
        <v>8482</v>
      </c>
      <c r="C1033" s="60" t="n">
        <v>277</v>
      </c>
      <c r="D1033" s="60" t="s">
        <v>8483</v>
      </c>
      <c r="E1033" s="60" t="s">
        <v>8483</v>
      </c>
      <c r="F1033" s="61" t="s">
        <v>620</v>
      </c>
    </row>
    <row r="1034" customFormat="false" ht="15" hidden="false" customHeight="false" outlineLevel="0" collapsed="false">
      <c r="A1034" s="92" t="str">
        <f aca="false">Gov_Map!$H278&amp;""</f>
        <v>—</v>
      </c>
      <c r="B1034" s="73" t="s">
        <v>8482</v>
      </c>
      <c r="C1034" s="60" t="n">
        <v>278</v>
      </c>
      <c r="D1034" s="60" t="s">
        <v>8483</v>
      </c>
      <c r="E1034" s="60" t="s">
        <v>8483</v>
      </c>
      <c r="F1034" s="61" t="s">
        <v>620</v>
      </c>
    </row>
    <row r="1035" customFormat="false" ht="15" hidden="false" customHeight="false" outlineLevel="0" collapsed="false">
      <c r="A1035" s="92" t="str">
        <f aca="false">Gov_Map!$H279&amp;""</f>
        <v>—</v>
      </c>
      <c r="B1035" s="73" t="s">
        <v>8482</v>
      </c>
      <c r="C1035" s="60" t="n">
        <v>279</v>
      </c>
      <c r="D1035" s="60" t="s">
        <v>8483</v>
      </c>
      <c r="E1035" s="60" t="s">
        <v>8483</v>
      </c>
      <c r="F1035" s="61" t="s">
        <v>620</v>
      </c>
    </row>
    <row r="1036" customFormat="false" ht="15" hidden="false" customHeight="false" outlineLevel="0" collapsed="false">
      <c r="A1036" s="92" t="str">
        <f aca="false">Gov_Map!$H280&amp;""</f>
        <v>—</v>
      </c>
      <c r="B1036" s="73" t="s">
        <v>8482</v>
      </c>
      <c r="C1036" s="60" t="n">
        <v>280</v>
      </c>
      <c r="D1036" s="60" t="s">
        <v>8483</v>
      </c>
      <c r="E1036" s="60" t="s">
        <v>8483</v>
      </c>
      <c r="F1036" s="61" t="s">
        <v>620</v>
      </c>
    </row>
    <row r="1037" customFormat="false" ht="15" hidden="false" customHeight="false" outlineLevel="0" collapsed="false">
      <c r="A1037" s="92" t="str">
        <f aca="false">Gov_Map!$H281&amp;""</f>
        <v>—</v>
      </c>
      <c r="B1037" s="73" t="s">
        <v>8482</v>
      </c>
      <c r="C1037" s="60" t="n">
        <v>281</v>
      </c>
      <c r="D1037" s="60" t="s">
        <v>8483</v>
      </c>
      <c r="E1037" s="60" t="s">
        <v>8483</v>
      </c>
      <c r="F1037" s="61" t="s">
        <v>620</v>
      </c>
    </row>
    <row r="1038" customFormat="false" ht="15" hidden="false" customHeight="false" outlineLevel="0" collapsed="false">
      <c r="A1038" s="92" t="str">
        <f aca="false">Gov_Map!$H282&amp;""</f>
        <v>—</v>
      </c>
      <c r="B1038" s="73" t="s">
        <v>8482</v>
      </c>
      <c r="C1038" s="60" t="n">
        <v>282</v>
      </c>
      <c r="D1038" s="60" t="s">
        <v>8483</v>
      </c>
      <c r="E1038" s="60" t="s">
        <v>8483</v>
      </c>
      <c r="F1038" s="61" t="s">
        <v>620</v>
      </c>
    </row>
    <row r="1039" customFormat="false" ht="15" hidden="false" customHeight="false" outlineLevel="0" collapsed="false">
      <c r="A1039" s="92" t="str">
        <f aca="false">Gov_Map!$H283&amp;""</f>
        <v>—</v>
      </c>
      <c r="B1039" s="73" t="s">
        <v>8482</v>
      </c>
      <c r="C1039" s="60" t="n">
        <v>283</v>
      </c>
      <c r="D1039" s="60" t="s">
        <v>8483</v>
      </c>
      <c r="E1039" s="60" t="s">
        <v>8483</v>
      </c>
      <c r="F1039" s="61" t="s">
        <v>620</v>
      </c>
    </row>
    <row r="1040" customFormat="false" ht="15" hidden="false" customHeight="false" outlineLevel="0" collapsed="false">
      <c r="A1040" s="92" t="str">
        <f aca="false">Gov_Map!$H284&amp;""</f>
        <v>—</v>
      </c>
      <c r="B1040" s="73" t="s">
        <v>8482</v>
      </c>
      <c r="C1040" s="60" t="n">
        <v>284</v>
      </c>
      <c r="D1040" s="60" t="s">
        <v>8483</v>
      </c>
      <c r="E1040" s="60" t="s">
        <v>8483</v>
      </c>
      <c r="F1040" s="61" t="s">
        <v>620</v>
      </c>
    </row>
    <row r="1041" customFormat="false" ht="15" hidden="false" customHeight="false" outlineLevel="0" collapsed="false">
      <c r="A1041" s="92" t="str">
        <f aca="false">Gov_Map!$H285&amp;""</f>
        <v>—</v>
      </c>
      <c r="B1041" s="73" t="s">
        <v>8482</v>
      </c>
      <c r="C1041" s="60" t="n">
        <v>285</v>
      </c>
      <c r="D1041" s="60" t="s">
        <v>8483</v>
      </c>
      <c r="E1041" s="60" t="s">
        <v>8483</v>
      </c>
      <c r="F1041" s="61" t="s">
        <v>620</v>
      </c>
    </row>
    <row r="1042" customFormat="false" ht="15" hidden="false" customHeight="false" outlineLevel="0" collapsed="false">
      <c r="A1042" s="92" t="str">
        <f aca="false">Gov_Map!$H286&amp;""</f>
        <v>—</v>
      </c>
      <c r="B1042" s="73" t="s">
        <v>8482</v>
      </c>
      <c r="C1042" s="60" t="n">
        <v>286</v>
      </c>
      <c r="D1042" s="60" t="s">
        <v>8483</v>
      </c>
      <c r="E1042" s="60" t="s">
        <v>8483</v>
      </c>
      <c r="F1042" s="61" t="s">
        <v>620</v>
      </c>
    </row>
    <row r="1043" customFormat="false" ht="15" hidden="false" customHeight="false" outlineLevel="0" collapsed="false">
      <c r="A1043" s="92" t="str">
        <f aca="false">Gov_Map!$H287&amp;""</f>
        <v>—</v>
      </c>
      <c r="B1043" s="73" t="s">
        <v>8482</v>
      </c>
      <c r="C1043" s="60" t="n">
        <v>287</v>
      </c>
      <c r="D1043" s="60" t="s">
        <v>8483</v>
      </c>
      <c r="E1043" s="60" t="s">
        <v>8483</v>
      </c>
      <c r="F1043" s="61" t="s">
        <v>620</v>
      </c>
    </row>
    <row r="1044" customFormat="false" ht="15" hidden="false" customHeight="false" outlineLevel="0" collapsed="false">
      <c r="A1044" s="92" t="str">
        <f aca="false">Gov_Map!$H288&amp;""</f>
        <v>—</v>
      </c>
      <c r="B1044" s="73" t="s">
        <v>8482</v>
      </c>
      <c r="C1044" s="60" t="n">
        <v>288</v>
      </c>
      <c r="D1044" s="60" t="s">
        <v>8483</v>
      </c>
      <c r="E1044" s="60" t="s">
        <v>8483</v>
      </c>
      <c r="F1044" s="61" t="s">
        <v>620</v>
      </c>
    </row>
    <row r="1045" customFormat="false" ht="15" hidden="false" customHeight="false" outlineLevel="0" collapsed="false">
      <c r="A1045" s="92" t="str">
        <f aca="false">Gov_Map!$H289&amp;""</f>
        <v>—</v>
      </c>
      <c r="B1045" s="73" t="s">
        <v>8482</v>
      </c>
      <c r="C1045" s="60" t="n">
        <v>289</v>
      </c>
      <c r="D1045" s="60" t="s">
        <v>8483</v>
      </c>
      <c r="E1045" s="60" t="s">
        <v>8483</v>
      </c>
      <c r="F1045" s="61" t="s">
        <v>620</v>
      </c>
    </row>
    <row r="1046" customFormat="false" ht="15" hidden="false" customHeight="false" outlineLevel="0" collapsed="false">
      <c r="A1046" s="92" t="str">
        <f aca="false">Gov_Map!$H290&amp;""</f>
        <v>—</v>
      </c>
      <c r="B1046" s="73" t="s">
        <v>8482</v>
      </c>
      <c r="C1046" s="60" t="n">
        <v>290</v>
      </c>
      <c r="D1046" s="60" t="s">
        <v>8483</v>
      </c>
      <c r="E1046" s="60" t="s">
        <v>8483</v>
      </c>
      <c r="F1046" s="61" t="s">
        <v>620</v>
      </c>
    </row>
    <row r="1047" customFormat="false" ht="15" hidden="false" customHeight="false" outlineLevel="0" collapsed="false">
      <c r="A1047" s="92" t="str">
        <f aca="false">Gov_Map!$H291&amp;""</f>
        <v>—</v>
      </c>
      <c r="B1047" s="73" t="s">
        <v>8482</v>
      </c>
      <c r="C1047" s="60" t="n">
        <v>291</v>
      </c>
      <c r="D1047" s="60" t="s">
        <v>8483</v>
      </c>
      <c r="E1047" s="60" t="s">
        <v>8483</v>
      </c>
      <c r="F1047" s="61" t="s">
        <v>620</v>
      </c>
    </row>
    <row r="1048" customFormat="false" ht="15" hidden="false" customHeight="false" outlineLevel="0" collapsed="false">
      <c r="A1048" s="92" t="str">
        <f aca="false">Gov_Map!$H292&amp;""</f>
        <v>—</v>
      </c>
      <c r="B1048" s="73" t="s">
        <v>8482</v>
      </c>
      <c r="C1048" s="60" t="n">
        <v>292</v>
      </c>
      <c r="D1048" s="60" t="s">
        <v>8483</v>
      </c>
      <c r="E1048" s="60" t="s">
        <v>8483</v>
      </c>
      <c r="F1048" s="61" t="s">
        <v>620</v>
      </c>
    </row>
    <row r="1049" customFormat="false" ht="15" hidden="false" customHeight="false" outlineLevel="0" collapsed="false">
      <c r="A1049" s="92" t="str">
        <f aca="false">Gov_Map!$H293&amp;""</f>
        <v>—</v>
      </c>
      <c r="B1049" s="73" t="s">
        <v>8482</v>
      </c>
      <c r="C1049" s="60" t="n">
        <v>293</v>
      </c>
      <c r="D1049" s="60" t="s">
        <v>8483</v>
      </c>
      <c r="E1049" s="60" t="s">
        <v>8483</v>
      </c>
      <c r="F1049" s="61" t="s">
        <v>620</v>
      </c>
    </row>
    <row r="1050" customFormat="false" ht="15" hidden="false" customHeight="false" outlineLevel="0" collapsed="false">
      <c r="A1050" s="92" t="str">
        <f aca="false">Gov_Map!$H294&amp;""</f>
        <v>—</v>
      </c>
      <c r="B1050" s="73" t="s">
        <v>8482</v>
      </c>
      <c r="C1050" s="60" t="n">
        <v>294</v>
      </c>
      <c r="D1050" s="60" t="s">
        <v>8483</v>
      </c>
      <c r="E1050" s="60" t="s">
        <v>8483</v>
      </c>
      <c r="F1050" s="61" t="s">
        <v>620</v>
      </c>
    </row>
    <row r="1051" customFormat="false" ht="15" hidden="false" customHeight="false" outlineLevel="0" collapsed="false">
      <c r="A1051" s="92" t="str">
        <f aca="false">Gov_Map!$H295&amp;""</f>
        <v>—</v>
      </c>
      <c r="B1051" s="73" t="s">
        <v>8482</v>
      </c>
      <c r="C1051" s="60" t="n">
        <v>295</v>
      </c>
      <c r="D1051" s="60" t="s">
        <v>8483</v>
      </c>
      <c r="E1051" s="60" t="s">
        <v>8483</v>
      </c>
      <c r="F1051" s="61" t="s">
        <v>620</v>
      </c>
    </row>
    <row r="1052" customFormat="false" ht="15" hidden="false" customHeight="false" outlineLevel="0" collapsed="false">
      <c r="A1052" s="92" t="str">
        <f aca="false">Gov_Map!$H296&amp;""</f>
        <v>—</v>
      </c>
      <c r="B1052" s="73" t="s">
        <v>8482</v>
      </c>
      <c r="C1052" s="60" t="n">
        <v>296</v>
      </c>
      <c r="D1052" s="60" t="s">
        <v>8483</v>
      </c>
      <c r="E1052" s="60" t="s">
        <v>8483</v>
      </c>
      <c r="F1052" s="61" t="s">
        <v>620</v>
      </c>
    </row>
    <row r="1053" customFormat="false" ht="15" hidden="false" customHeight="false" outlineLevel="0" collapsed="false">
      <c r="A1053" s="92" t="str">
        <f aca="false">Gov_Map!$H297&amp;""</f>
        <v>—</v>
      </c>
      <c r="B1053" s="73" t="s">
        <v>8482</v>
      </c>
      <c r="C1053" s="60" t="n">
        <v>297</v>
      </c>
      <c r="D1053" s="60" t="s">
        <v>8483</v>
      </c>
      <c r="E1053" s="60" t="s">
        <v>8483</v>
      </c>
      <c r="F1053" s="61" t="s">
        <v>620</v>
      </c>
    </row>
    <row r="1054" customFormat="false" ht="15" hidden="false" customHeight="false" outlineLevel="0" collapsed="false">
      <c r="A1054" s="92" t="str">
        <f aca="false">Gov_Map!$H298&amp;""</f>
        <v>—</v>
      </c>
      <c r="B1054" s="73" t="s">
        <v>8482</v>
      </c>
      <c r="C1054" s="60" t="n">
        <v>298</v>
      </c>
      <c r="D1054" s="60" t="s">
        <v>8483</v>
      </c>
      <c r="E1054" s="60" t="s">
        <v>8483</v>
      </c>
      <c r="F1054" s="61" t="s">
        <v>620</v>
      </c>
    </row>
    <row r="1055" customFormat="false" ht="15" hidden="false" customHeight="false" outlineLevel="0" collapsed="false">
      <c r="A1055" s="92" t="str">
        <f aca="false">Gov_Map!$H299&amp;""</f>
        <v>—</v>
      </c>
      <c r="B1055" s="73" t="s">
        <v>8482</v>
      </c>
      <c r="C1055" s="60" t="n">
        <v>299</v>
      </c>
      <c r="D1055" s="60" t="s">
        <v>8483</v>
      </c>
      <c r="E1055" s="60" t="s">
        <v>8483</v>
      </c>
      <c r="F1055" s="61" t="s">
        <v>620</v>
      </c>
    </row>
    <row r="1056" customFormat="false" ht="15" hidden="false" customHeight="false" outlineLevel="0" collapsed="false">
      <c r="A1056" s="92" t="str">
        <f aca="false">Gov_Map!$H300&amp;""</f>
        <v>—</v>
      </c>
      <c r="B1056" s="73" t="s">
        <v>8482</v>
      </c>
      <c r="C1056" s="60" t="n">
        <v>300</v>
      </c>
      <c r="D1056" s="60" t="s">
        <v>8483</v>
      </c>
      <c r="E1056" s="60" t="s">
        <v>8483</v>
      </c>
      <c r="F1056" s="61" t="s">
        <v>620</v>
      </c>
    </row>
    <row r="1057" customFormat="false" ht="15" hidden="false" customHeight="false" outlineLevel="0" collapsed="false">
      <c r="A1057" s="92" t="str">
        <f aca="false">Gov_Map!$H301&amp;""</f>
        <v>—</v>
      </c>
      <c r="B1057" s="73" t="s">
        <v>8482</v>
      </c>
      <c r="C1057" s="60" t="n">
        <v>301</v>
      </c>
      <c r="D1057" s="60" t="s">
        <v>8483</v>
      </c>
      <c r="E1057" s="60" t="s">
        <v>8483</v>
      </c>
      <c r="F1057" s="61" t="s">
        <v>620</v>
      </c>
    </row>
    <row r="1058" customFormat="false" ht="15" hidden="false" customHeight="false" outlineLevel="0" collapsed="false">
      <c r="A1058" s="92" t="str">
        <f aca="false">Gov_Map!$H302&amp;""</f>
        <v>—</v>
      </c>
      <c r="B1058" s="73" t="s">
        <v>8482</v>
      </c>
      <c r="C1058" s="60" t="n">
        <v>302</v>
      </c>
      <c r="D1058" s="60" t="s">
        <v>8483</v>
      </c>
      <c r="E1058" s="60" t="s">
        <v>8483</v>
      </c>
      <c r="F1058" s="61" t="s">
        <v>620</v>
      </c>
    </row>
    <row r="1059" customFormat="false" ht="15" hidden="false" customHeight="false" outlineLevel="0" collapsed="false">
      <c r="A1059" s="92" t="str">
        <f aca="false">Gov_Map!$H303&amp;""</f>
        <v>—</v>
      </c>
      <c r="B1059" s="73" t="s">
        <v>8482</v>
      </c>
      <c r="C1059" s="60" t="n">
        <v>303</v>
      </c>
      <c r="D1059" s="60" t="s">
        <v>8483</v>
      </c>
      <c r="E1059" s="60" t="s">
        <v>8483</v>
      </c>
      <c r="F1059" s="61" t="s">
        <v>620</v>
      </c>
    </row>
    <row r="1060" customFormat="false" ht="15" hidden="false" customHeight="false" outlineLevel="0" collapsed="false">
      <c r="A1060" s="92" t="str">
        <f aca="false">Gov_Map!$H304&amp;""</f>
        <v>—</v>
      </c>
      <c r="B1060" s="73" t="s">
        <v>8482</v>
      </c>
      <c r="C1060" s="60" t="n">
        <v>304</v>
      </c>
      <c r="D1060" s="60" t="s">
        <v>8483</v>
      </c>
      <c r="E1060" s="60" t="s">
        <v>8483</v>
      </c>
      <c r="F1060" s="61" t="s">
        <v>620</v>
      </c>
    </row>
    <row r="1061" customFormat="false" ht="15" hidden="false" customHeight="false" outlineLevel="0" collapsed="false">
      <c r="A1061" s="92" t="str">
        <f aca="false">Gov_Map!$H305&amp;""</f>
        <v>—</v>
      </c>
      <c r="B1061" s="73" t="s">
        <v>8482</v>
      </c>
      <c r="C1061" s="60" t="n">
        <v>305</v>
      </c>
      <c r="D1061" s="60" t="s">
        <v>8483</v>
      </c>
      <c r="E1061" s="60" t="s">
        <v>8483</v>
      </c>
      <c r="F1061" s="61" t="s">
        <v>620</v>
      </c>
    </row>
    <row r="1062" customFormat="false" ht="15" hidden="false" customHeight="false" outlineLevel="0" collapsed="false">
      <c r="A1062" s="92" t="str">
        <f aca="false">Gov_Map!$H306&amp;""</f>
        <v>SRC_HAR_001</v>
      </c>
      <c r="B1062" s="73" t="s">
        <v>8482</v>
      </c>
      <c r="C1062" s="60" t="n">
        <v>306</v>
      </c>
      <c r="D1062" s="60" t="s">
        <v>8483</v>
      </c>
      <c r="E1062" s="60" t="s">
        <v>8483</v>
      </c>
      <c r="F1062" s="61" t="s">
        <v>620</v>
      </c>
    </row>
    <row r="1063" customFormat="false" ht="15" hidden="false" customHeight="false" outlineLevel="0" collapsed="false">
      <c r="A1063" s="92" t="str">
        <f aca="false">Gov_Map!$H307&amp;""</f>
        <v>SRC_HAR_002</v>
      </c>
      <c r="B1063" s="73" t="s">
        <v>8482</v>
      </c>
      <c r="C1063" s="60" t="n">
        <v>307</v>
      </c>
      <c r="D1063" s="60" t="s">
        <v>8483</v>
      </c>
      <c r="E1063" s="60" t="s">
        <v>8483</v>
      </c>
      <c r="F1063" s="61" t="s">
        <v>620</v>
      </c>
    </row>
    <row r="1064" customFormat="false" ht="15" hidden="false" customHeight="false" outlineLevel="0" collapsed="false">
      <c r="A1064" s="92" t="str">
        <f aca="false">Gov_Map!$H308&amp;""</f>
        <v>SRC_PERF_041</v>
      </c>
      <c r="B1064" s="73" t="s">
        <v>8482</v>
      </c>
      <c r="C1064" s="60" t="n">
        <v>308</v>
      </c>
      <c r="D1064" s="60" t="s">
        <v>8483</v>
      </c>
      <c r="E1064" s="60" t="s">
        <v>8483</v>
      </c>
      <c r="F1064" s="61" t="s">
        <v>620</v>
      </c>
    </row>
    <row r="1065" customFormat="false" ht="15" hidden="false" customHeight="false" outlineLevel="0" collapsed="false">
      <c r="A1065" s="92" t="str">
        <f aca="false">Gov_Map!$H309&amp;""</f>
        <v>—</v>
      </c>
      <c r="B1065" s="73" t="s">
        <v>8482</v>
      </c>
      <c r="C1065" s="60" t="n">
        <v>309</v>
      </c>
      <c r="D1065" s="60" t="s">
        <v>8483</v>
      </c>
      <c r="E1065" s="60" t="s">
        <v>8483</v>
      </c>
      <c r="F1065" s="61" t="s">
        <v>620</v>
      </c>
    </row>
    <row r="1066" customFormat="false" ht="15" hidden="false" customHeight="false" outlineLevel="0" collapsed="false">
      <c r="A1066" s="92" t="str">
        <f aca="false">Gov_Map!$H310&amp;""</f>
        <v>SRC_PERF_009</v>
      </c>
      <c r="B1066" s="73" t="s">
        <v>8482</v>
      </c>
      <c r="C1066" s="60" t="n">
        <v>310</v>
      </c>
      <c r="D1066" s="60" t="s">
        <v>8483</v>
      </c>
      <c r="E1066" s="60" t="s">
        <v>8483</v>
      </c>
      <c r="F1066" s="61" t="s">
        <v>620</v>
      </c>
    </row>
    <row r="1067" customFormat="false" ht="15" hidden="false" customHeight="false" outlineLevel="0" collapsed="false">
      <c r="A1067" s="92" t="str">
        <f aca="false">Gov_Map!$H311&amp;""</f>
        <v>SRC_PERF_009</v>
      </c>
      <c r="B1067" s="73" t="s">
        <v>8482</v>
      </c>
      <c r="C1067" s="60" t="n">
        <v>311</v>
      </c>
      <c r="D1067" s="60" t="s">
        <v>8483</v>
      </c>
      <c r="E1067" s="60" t="s">
        <v>8483</v>
      </c>
      <c r="F1067" s="61" t="s">
        <v>620</v>
      </c>
    </row>
    <row r="1068" customFormat="false" ht="15" hidden="false" customHeight="false" outlineLevel="0" collapsed="false">
      <c r="A1068" s="92" t="str">
        <f aca="false">Gov_Map!$H312&amp;""</f>
        <v>SRC_PERF_009</v>
      </c>
      <c r="B1068" s="73" t="s">
        <v>8482</v>
      </c>
      <c r="C1068" s="60" t="n">
        <v>312</v>
      </c>
      <c r="D1068" s="60" t="s">
        <v>8483</v>
      </c>
      <c r="E1068" s="60" t="s">
        <v>8483</v>
      </c>
      <c r="F1068" s="61" t="s">
        <v>620</v>
      </c>
    </row>
    <row r="1069" customFormat="false" ht="15" hidden="false" customHeight="false" outlineLevel="0" collapsed="false">
      <c r="A1069" s="92" t="str">
        <f aca="false">Gov_Map!$H313&amp;""</f>
        <v>SRC_PERF_009</v>
      </c>
      <c r="B1069" s="73" t="s">
        <v>8482</v>
      </c>
      <c r="C1069" s="60" t="n">
        <v>313</v>
      </c>
      <c r="D1069" s="60" t="s">
        <v>8483</v>
      </c>
      <c r="E1069" s="60" t="s">
        <v>8483</v>
      </c>
      <c r="F1069" s="61" t="s">
        <v>620</v>
      </c>
    </row>
    <row r="1070" customFormat="false" ht="15" hidden="false" customHeight="false" outlineLevel="0" collapsed="false">
      <c r="A1070" s="92" t="str">
        <f aca="false">Gov_Map!$H314&amp;""</f>
        <v>SRC_PERF_009</v>
      </c>
      <c r="B1070" s="73" t="s">
        <v>8482</v>
      </c>
      <c r="C1070" s="60" t="n">
        <v>314</v>
      </c>
      <c r="D1070" s="60" t="s">
        <v>8483</v>
      </c>
      <c r="E1070" s="60" t="s">
        <v>8483</v>
      </c>
      <c r="F1070" s="61" t="s">
        <v>620</v>
      </c>
    </row>
    <row r="1071" customFormat="false" ht="15" hidden="false" customHeight="false" outlineLevel="0" collapsed="false">
      <c r="A1071" s="92" t="str">
        <f aca="false">Gov_Map!$H315&amp;""</f>
        <v>SRC_PERF_010</v>
      </c>
      <c r="B1071" s="73" t="s">
        <v>8482</v>
      </c>
      <c r="C1071" s="60" t="n">
        <v>315</v>
      </c>
      <c r="D1071" s="60" t="s">
        <v>8483</v>
      </c>
      <c r="E1071" s="60" t="s">
        <v>8483</v>
      </c>
      <c r="F1071" s="61" t="s">
        <v>620</v>
      </c>
    </row>
    <row r="1072" customFormat="false" ht="15" hidden="false" customHeight="false" outlineLevel="0" collapsed="false">
      <c r="A1072" s="92" t="str">
        <f aca="false">Gov_Map!$H316&amp;""</f>
        <v>SRC_PERF_010</v>
      </c>
      <c r="B1072" s="73" t="s">
        <v>8482</v>
      </c>
      <c r="C1072" s="60" t="n">
        <v>316</v>
      </c>
      <c r="D1072" s="60" t="s">
        <v>8483</v>
      </c>
      <c r="E1072" s="60" t="s">
        <v>8483</v>
      </c>
      <c r="F1072" s="61" t="s">
        <v>620</v>
      </c>
    </row>
    <row r="1073" customFormat="false" ht="15" hidden="false" customHeight="false" outlineLevel="0" collapsed="false">
      <c r="A1073" s="92" t="str">
        <f aca="false">Gov_Map!$H317&amp;""</f>
        <v>SRC_PERF_010</v>
      </c>
      <c r="B1073" s="73" t="s">
        <v>8482</v>
      </c>
      <c r="C1073" s="60" t="n">
        <v>317</v>
      </c>
      <c r="D1073" s="60" t="s">
        <v>8483</v>
      </c>
      <c r="E1073" s="60" t="s">
        <v>8483</v>
      </c>
      <c r="F1073" s="61" t="s">
        <v>620</v>
      </c>
    </row>
    <row r="1074" customFormat="false" ht="15" hidden="false" customHeight="false" outlineLevel="0" collapsed="false">
      <c r="A1074" s="92" t="str">
        <f aca="false">Gov_Map!$H318&amp;""</f>
        <v>SRC_PERF_010</v>
      </c>
      <c r="B1074" s="73" t="s">
        <v>8482</v>
      </c>
      <c r="C1074" s="60" t="n">
        <v>318</v>
      </c>
      <c r="D1074" s="60" t="s">
        <v>8483</v>
      </c>
      <c r="E1074" s="60" t="s">
        <v>8483</v>
      </c>
      <c r="F1074" s="61" t="s">
        <v>620</v>
      </c>
    </row>
    <row r="1075" customFormat="false" ht="15" hidden="false" customHeight="false" outlineLevel="0" collapsed="false">
      <c r="A1075" s="92" t="str">
        <f aca="false">Gov_Map!$H319&amp;""</f>
        <v>SRC_PERF_010</v>
      </c>
      <c r="B1075" s="73" t="s">
        <v>8482</v>
      </c>
      <c r="C1075" s="60" t="n">
        <v>319</v>
      </c>
      <c r="D1075" s="60" t="s">
        <v>8483</v>
      </c>
      <c r="E1075" s="60" t="s">
        <v>8483</v>
      </c>
      <c r="F1075" s="61" t="s">
        <v>620</v>
      </c>
    </row>
    <row r="1076" customFormat="false" ht="15" hidden="false" customHeight="false" outlineLevel="0" collapsed="false">
      <c r="A1076" s="92" t="str">
        <f aca="false">Gov_Map!$H320&amp;""</f>
        <v>SRC_PERF_004</v>
      </c>
      <c r="B1076" s="73" t="s">
        <v>8482</v>
      </c>
      <c r="C1076" s="60" t="n">
        <v>320</v>
      </c>
      <c r="D1076" s="60" t="s">
        <v>8483</v>
      </c>
      <c r="E1076" s="60" t="s">
        <v>8483</v>
      </c>
      <c r="F1076" s="61" t="s">
        <v>620</v>
      </c>
    </row>
    <row r="1077" customFormat="false" ht="15" hidden="false" customHeight="false" outlineLevel="0" collapsed="false">
      <c r="A1077" s="92" t="str">
        <f aca="false">Gov_Map!$H321&amp;""</f>
        <v>SRC_PERF_004</v>
      </c>
      <c r="B1077" s="73" t="s">
        <v>8482</v>
      </c>
      <c r="C1077" s="60" t="n">
        <v>321</v>
      </c>
      <c r="D1077" s="60" t="s">
        <v>8483</v>
      </c>
      <c r="E1077" s="60" t="s">
        <v>8483</v>
      </c>
      <c r="F1077" s="61" t="s">
        <v>620</v>
      </c>
    </row>
    <row r="1078" customFormat="false" ht="15" hidden="false" customHeight="false" outlineLevel="0" collapsed="false">
      <c r="A1078" s="92" t="str">
        <f aca="false">Gov_Map!$H322&amp;""</f>
        <v>SRC_PERF_004</v>
      </c>
      <c r="B1078" s="73" t="s">
        <v>8482</v>
      </c>
      <c r="C1078" s="60" t="n">
        <v>322</v>
      </c>
      <c r="D1078" s="60" t="s">
        <v>8483</v>
      </c>
      <c r="E1078" s="60" t="s">
        <v>8483</v>
      </c>
      <c r="F1078" s="61" t="s">
        <v>620</v>
      </c>
    </row>
    <row r="1079" customFormat="false" ht="15" hidden="false" customHeight="false" outlineLevel="0" collapsed="false">
      <c r="A1079" s="92" t="str">
        <f aca="false">Gov_Map!$H323&amp;""</f>
        <v>SRC_PERF_004</v>
      </c>
      <c r="B1079" s="73" t="s">
        <v>8482</v>
      </c>
      <c r="C1079" s="60" t="n">
        <v>323</v>
      </c>
      <c r="D1079" s="60" t="s">
        <v>8483</v>
      </c>
      <c r="E1079" s="60" t="s">
        <v>8483</v>
      </c>
      <c r="F1079" s="61" t="s">
        <v>620</v>
      </c>
    </row>
    <row r="1080" customFormat="false" ht="15" hidden="false" customHeight="false" outlineLevel="0" collapsed="false">
      <c r="A1080" s="92" t="str">
        <f aca="false">Gov_Map!$H324&amp;""</f>
        <v>SRC_PERF_004</v>
      </c>
      <c r="B1080" s="73" t="s">
        <v>8482</v>
      </c>
      <c r="C1080" s="60" t="n">
        <v>324</v>
      </c>
      <c r="D1080" s="60" t="s">
        <v>8483</v>
      </c>
      <c r="E1080" s="60" t="s">
        <v>8483</v>
      </c>
      <c r="F1080" s="61" t="s">
        <v>620</v>
      </c>
    </row>
    <row r="1081" customFormat="false" ht="15" hidden="false" customHeight="false" outlineLevel="0" collapsed="false">
      <c r="A1081" s="92" t="str">
        <f aca="false">Gov_Map!$H325&amp;""</f>
        <v>SRC_PERF_001</v>
      </c>
      <c r="B1081" s="73" t="s">
        <v>8482</v>
      </c>
      <c r="C1081" s="60" t="n">
        <v>325</v>
      </c>
      <c r="D1081" s="60" t="s">
        <v>8483</v>
      </c>
      <c r="E1081" s="60" t="s">
        <v>8483</v>
      </c>
      <c r="F1081" s="61" t="s">
        <v>620</v>
      </c>
    </row>
    <row r="1082" customFormat="false" ht="15" hidden="false" customHeight="false" outlineLevel="0" collapsed="false">
      <c r="A1082" s="92" t="str">
        <f aca="false">Gov_Map!$H326&amp;""</f>
        <v>SRC_PERF_001</v>
      </c>
      <c r="B1082" s="73" t="s">
        <v>8482</v>
      </c>
      <c r="C1082" s="60" t="n">
        <v>326</v>
      </c>
      <c r="D1082" s="60" t="s">
        <v>8483</v>
      </c>
      <c r="E1082" s="60" t="s">
        <v>8483</v>
      </c>
      <c r="F1082" s="61" t="s">
        <v>620</v>
      </c>
    </row>
    <row r="1083" customFormat="false" ht="15" hidden="false" customHeight="false" outlineLevel="0" collapsed="false">
      <c r="A1083" s="92" t="str">
        <f aca="false">Gov_Map!$H327&amp;""</f>
        <v>SRC_PERF_001</v>
      </c>
      <c r="B1083" s="73" t="s">
        <v>8482</v>
      </c>
      <c r="C1083" s="60" t="n">
        <v>327</v>
      </c>
      <c r="D1083" s="60" t="s">
        <v>8483</v>
      </c>
      <c r="E1083" s="60" t="s">
        <v>8483</v>
      </c>
      <c r="F1083" s="61" t="s">
        <v>620</v>
      </c>
    </row>
    <row r="1084" customFormat="false" ht="15" hidden="false" customHeight="false" outlineLevel="0" collapsed="false">
      <c r="A1084" s="92" t="str">
        <f aca="false">Gov_Map!$H328&amp;""</f>
        <v>SRC_PERF_001</v>
      </c>
      <c r="B1084" s="73" t="s">
        <v>8482</v>
      </c>
      <c r="C1084" s="60" t="n">
        <v>328</v>
      </c>
      <c r="D1084" s="60" t="s">
        <v>8483</v>
      </c>
      <c r="E1084" s="60" t="s">
        <v>8483</v>
      </c>
      <c r="F1084" s="61" t="s">
        <v>620</v>
      </c>
    </row>
    <row r="1085" customFormat="false" ht="15" hidden="false" customHeight="false" outlineLevel="0" collapsed="false">
      <c r="A1085" s="92" t="str">
        <f aca="false">Gov_Map!$H329&amp;""</f>
        <v>SRC_PERF_001</v>
      </c>
      <c r="B1085" s="73" t="s">
        <v>8482</v>
      </c>
      <c r="C1085" s="60" t="n">
        <v>329</v>
      </c>
      <c r="D1085" s="60" t="s">
        <v>8483</v>
      </c>
      <c r="E1085" s="60" t="s">
        <v>8483</v>
      </c>
      <c r="F1085" s="61" t="s">
        <v>620</v>
      </c>
    </row>
    <row r="1086" customFormat="false" ht="15" hidden="false" customHeight="false" outlineLevel="0" collapsed="false">
      <c r="A1086" s="92" t="str">
        <f aca="false">Gov_Map!$H330&amp;""</f>
        <v>SRC_PERF_002</v>
      </c>
      <c r="B1086" s="73" t="s">
        <v>8482</v>
      </c>
      <c r="C1086" s="60" t="n">
        <v>330</v>
      </c>
      <c r="D1086" s="60" t="s">
        <v>8483</v>
      </c>
      <c r="E1086" s="60" t="s">
        <v>8483</v>
      </c>
      <c r="F1086" s="61" t="s">
        <v>620</v>
      </c>
    </row>
    <row r="1087" customFormat="false" ht="15" hidden="false" customHeight="false" outlineLevel="0" collapsed="false">
      <c r="A1087" s="92" t="str">
        <f aca="false">Gov_Map!$H331&amp;""</f>
        <v>SRC_PERF_002</v>
      </c>
      <c r="B1087" s="73" t="s">
        <v>8482</v>
      </c>
      <c r="C1087" s="60" t="n">
        <v>331</v>
      </c>
      <c r="D1087" s="60" t="s">
        <v>8483</v>
      </c>
      <c r="E1087" s="60" t="s">
        <v>8483</v>
      </c>
      <c r="F1087" s="61" t="s">
        <v>620</v>
      </c>
    </row>
    <row r="1088" customFormat="false" ht="15" hidden="false" customHeight="false" outlineLevel="0" collapsed="false">
      <c r="A1088" s="92" t="str">
        <f aca="false">Gov_Map!$H332&amp;""</f>
        <v>SRC_PERF_002</v>
      </c>
      <c r="B1088" s="73" t="s">
        <v>8482</v>
      </c>
      <c r="C1088" s="60" t="n">
        <v>332</v>
      </c>
      <c r="D1088" s="60" t="s">
        <v>8483</v>
      </c>
      <c r="E1088" s="60" t="s">
        <v>8483</v>
      </c>
      <c r="F1088" s="61" t="s">
        <v>620</v>
      </c>
    </row>
    <row r="1089" customFormat="false" ht="15" hidden="false" customHeight="false" outlineLevel="0" collapsed="false">
      <c r="A1089" s="92" t="str">
        <f aca="false">Gov_Map!$H333&amp;""</f>
        <v>SRC_PERF_002</v>
      </c>
      <c r="B1089" s="73" t="s">
        <v>8482</v>
      </c>
      <c r="C1089" s="60" t="n">
        <v>333</v>
      </c>
      <c r="D1089" s="60" t="s">
        <v>8483</v>
      </c>
      <c r="E1089" s="60" t="s">
        <v>8483</v>
      </c>
      <c r="F1089" s="61" t="s">
        <v>620</v>
      </c>
    </row>
    <row r="1090" customFormat="false" ht="15" hidden="false" customHeight="false" outlineLevel="0" collapsed="false">
      <c r="A1090" s="92" t="str">
        <f aca="false">Gov_Map!$H334&amp;""</f>
        <v>SRC_PERF_002</v>
      </c>
      <c r="B1090" s="73" t="s">
        <v>8482</v>
      </c>
      <c r="C1090" s="60" t="n">
        <v>334</v>
      </c>
      <c r="D1090" s="60" t="s">
        <v>8483</v>
      </c>
      <c r="E1090" s="60" t="s">
        <v>8483</v>
      </c>
      <c r="F1090" s="61" t="s">
        <v>620</v>
      </c>
    </row>
    <row r="1091" customFormat="false" ht="15" hidden="false" customHeight="false" outlineLevel="0" collapsed="false">
      <c r="A1091" s="92" t="str">
        <f aca="false">Gov_Map!$H335&amp;""</f>
        <v>SRC_PERF_014</v>
      </c>
      <c r="B1091" s="73" t="s">
        <v>8482</v>
      </c>
      <c r="C1091" s="60" t="n">
        <v>335</v>
      </c>
      <c r="D1091" s="60" t="s">
        <v>8483</v>
      </c>
      <c r="E1091" s="60" t="s">
        <v>8483</v>
      </c>
      <c r="F1091" s="61" t="s">
        <v>620</v>
      </c>
    </row>
    <row r="1092" customFormat="false" ht="15" hidden="false" customHeight="false" outlineLevel="0" collapsed="false">
      <c r="A1092" s="92" t="str">
        <f aca="false">Gov_Map!$H336&amp;""</f>
        <v>SRC_PERF_014</v>
      </c>
      <c r="B1092" s="73" t="s">
        <v>8482</v>
      </c>
      <c r="C1092" s="60" t="n">
        <v>336</v>
      </c>
      <c r="D1092" s="60" t="s">
        <v>8483</v>
      </c>
      <c r="E1092" s="60" t="s">
        <v>8483</v>
      </c>
      <c r="F1092" s="61" t="s">
        <v>620</v>
      </c>
    </row>
    <row r="1093" customFormat="false" ht="15" hidden="false" customHeight="false" outlineLevel="0" collapsed="false">
      <c r="A1093" s="92" t="str">
        <f aca="false">Gov_Map!$H337&amp;""</f>
        <v>SRC_PERF_014</v>
      </c>
      <c r="B1093" s="73" t="s">
        <v>8482</v>
      </c>
      <c r="C1093" s="60" t="n">
        <v>337</v>
      </c>
      <c r="D1093" s="60" t="s">
        <v>8483</v>
      </c>
      <c r="E1093" s="60" t="s">
        <v>8483</v>
      </c>
      <c r="F1093" s="61" t="s">
        <v>620</v>
      </c>
    </row>
    <row r="1094" customFormat="false" ht="15" hidden="false" customHeight="false" outlineLevel="0" collapsed="false">
      <c r="A1094" s="92" t="str">
        <f aca="false">Gov_Map!$H338&amp;""</f>
        <v>SRC_PERF_014</v>
      </c>
      <c r="B1094" s="73" t="s">
        <v>8482</v>
      </c>
      <c r="C1094" s="60" t="n">
        <v>338</v>
      </c>
      <c r="D1094" s="60" t="s">
        <v>8483</v>
      </c>
      <c r="E1094" s="60" t="s">
        <v>8483</v>
      </c>
      <c r="F1094" s="61" t="s">
        <v>620</v>
      </c>
    </row>
    <row r="1095" customFormat="false" ht="15" hidden="false" customHeight="false" outlineLevel="0" collapsed="false">
      <c r="A1095" s="92" t="str">
        <f aca="false">Gov_Map!$H339&amp;""</f>
        <v>SRC_PERF_014</v>
      </c>
      <c r="B1095" s="73" t="s">
        <v>8482</v>
      </c>
      <c r="C1095" s="60" t="n">
        <v>339</v>
      </c>
      <c r="D1095" s="60" t="s">
        <v>8483</v>
      </c>
      <c r="E1095" s="60" t="s">
        <v>8483</v>
      </c>
      <c r="F1095" s="61" t="s">
        <v>620</v>
      </c>
    </row>
    <row r="1096" customFormat="false" ht="15" hidden="false" customHeight="false" outlineLevel="0" collapsed="false">
      <c r="A1096" s="92" t="str">
        <f aca="false">Gov_Map!$H340&amp;""</f>
        <v>SRC_PERF_015</v>
      </c>
      <c r="B1096" s="73" t="s">
        <v>8482</v>
      </c>
      <c r="C1096" s="60" t="n">
        <v>340</v>
      </c>
      <c r="D1096" s="60" t="s">
        <v>8483</v>
      </c>
      <c r="E1096" s="60" t="s">
        <v>8483</v>
      </c>
      <c r="F1096" s="61" t="s">
        <v>620</v>
      </c>
    </row>
    <row r="1097" customFormat="false" ht="15" hidden="false" customHeight="false" outlineLevel="0" collapsed="false">
      <c r="A1097" s="92" t="str">
        <f aca="false">Gov_Map!$H341&amp;""</f>
        <v>SRC_PERF_015</v>
      </c>
      <c r="B1097" s="73" t="s">
        <v>8482</v>
      </c>
      <c r="C1097" s="60" t="n">
        <v>341</v>
      </c>
      <c r="D1097" s="60" t="s">
        <v>8483</v>
      </c>
      <c r="E1097" s="60" t="s">
        <v>8483</v>
      </c>
      <c r="F1097" s="61" t="s">
        <v>620</v>
      </c>
    </row>
    <row r="1098" customFormat="false" ht="15" hidden="false" customHeight="false" outlineLevel="0" collapsed="false">
      <c r="A1098" s="92" t="str">
        <f aca="false">Gov_Map!$H342&amp;""</f>
        <v>SRC_PERF_015</v>
      </c>
      <c r="B1098" s="73" t="s">
        <v>8482</v>
      </c>
      <c r="C1098" s="60" t="n">
        <v>342</v>
      </c>
      <c r="D1098" s="60" t="s">
        <v>8483</v>
      </c>
      <c r="E1098" s="60" t="s">
        <v>8483</v>
      </c>
      <c r="F1098" s="61" t="s">
        <v>620</v>
      </c>
    </row>
    <row r="1099" customFormat="false" ht="15" hidden="false" customHeight="false" outlineLevel="0" collapsed="false">
      <c r="A1099" s="92" t="str">
        <f aca="false">Gov_Map!$H343&amp;""</f>
        <v>SRC_PERF_015</v>
      </c>
      <c r="B1099" s="73" t="s">
        <v>8482</v>
      </c>
      <c r="C1099" s="60" t="n">
        <v>343</v>
      </c>
      <c r="D1099" s="60" t="s">
        <v>8483</v>
      </c>
      <c r="E1099" s="60" t="s">
        <v>8483</v>
      </c>
      <c r="F1099" s="61" t="s">
        <v>620</v>
      </c>
    </row>
    <row r="1100" customFormat="false" ht="15" hidden="false" customHeight="false" outlineLevel="0" collapsed="false">
      <c r="A1100" s="92" t="str">
        <f aca="false">Gov_Map!$H344&amp;""</f>
        <v>SRC_PERF_015</v>
      </c>
      <c r="B1100" s="73" t="s">
        <v>8482</v>
      </c>
      <c r="C1100" s="60" t="n">
        <v>344</v>
      </c>
      <c r="D1100" s="60" t="s">
        <v>8483</v>
      </c>
      <c r="E1100" s="60" t="s">
        <v>8483</v>
      </c>
      <c r="F1100" s="61" t="s">
        <v>620</v>
      </c>
    </row>
    <row r="1101" customFormat="false" ht="15" hidden="false" customHeight="false" outlineLevel="0" collapsed="false">
      <c r="A1101" s="92" t="str">
        <f aca="false">Gov_Map!$H345&amp;""</f>
        <v>SRC_PERF_042</v>
      </c>
      <c r="B1101" s="73" t="s">
        <v>8482</v>
      </c>
      <c r="C1101" s="60" t="n">
        <v>345</v>
      </c>
      <c r="D1101" s="60" t="s">
        <v>8483</v>
      </c>
      <c r="E1101" s="60" t="s">
        <v>8483</v>
      </c>
      <c r="F1101" s="61" t="s">
        <v>620</v>
      </c>
    </row>
    <row r="1102" customFormat="false" ht="15" hidden="false" customHeight="false" outlineLevel="0" collapsed="false">
      <c r="A1102" s="92" t="str">
        <f aca="false">Gov_Map!$H346&amp;""</f>
        <v>SRC_PERF_009</v>
      </c>
      <c r="B1102" s="73" t="s">
        <v>8482</v>
      </c>
      <c r="C1102" s="60" t="n">
        <v>346</v>
      </c>
      <c r="D1102" s="60" t="s">
        <v>8483</v>
      </c>
      <c r="E1102" s="60" t="s">
        <v>8483</v>
      </c>
      <c r="F1102" s="61" t="s">
        <v>620</v>
      </c>
    </row>
    <row r="1103" customFormat="false" ht="15" hidden="false" customHeight="false" outlineLevel="0" collapsed="false">
      <c r="A1103" s="92" t="str">
        <f aca="false">Gov_Map!$H347&amp;""</f>
        <v>SRC_PERF_009</v>
      </c>
      <c r="B1103" s="73" t="s">
        <v>8482</v>
      </c>
      <c r="C1103" s="60" t="n">
        <v>347</v>
      </c>
      <c r="D1103" s="60" t="s">
        <v>8483</v>
      </c>
      <c r="E1103" s="60" t="s">
        <v>8483</v>
      </c>
      <c r="F1103" s="61" t="s">
        <v>620</v>
      </c>
    </row>
    <row r="1104" customFormat="false" ht="15" hidden="false" customHeight="false" outlineLevel="0" collapsed="false">
      <c r="A1104" s="92" t="str">
        <f aca="false">Gov_Map!$H348&amp;""</f>
        <v>SRC_PERF_009</v>
      </c>
      <c r="B1104" s="73" t="s">
        <v>8482</v>
      </c>
      <c r="C1104" s="60" t="n">
        <v>348</v>
      </c>
      <c r="D1104" s="60" t="s">
        <v>8483</v>
      </c>
      <c r="E1104" s="60" t="s">
        <v>8483</v>
      </c>
      <c r="F1104" s="61" t="s">
        <v>620</v>
      </c>
    </row>
    <row r="1105" customFormat="false" ht="15" hidden="false" customHeight="false" outlineLevel="0" collapsed="false">
      <c r="A1105" s="92" t="str">
        <f aca="false">Gov_Map!$H349&amp;""</f>
        <v>SRC_PERF_009</v>
      </c>
      <c r="B1105" s="73" t="s">
        <v>8482</v>
      </c>
      <c r="C1105" s="60" t="n">
        <v>349</v>
      </c>
      <c r="D1105" s="60" t="s">
        <v>8483</v>
      </c>
      <c r="E1105" s="60" t="s">
        <v>8483</v>
      </c>
      <c r="F1105" s="61" t="s">
        <v>620</v>
      </c>
    </row>
    <row r="1106" customFormat="false" ht="15" hidden="false" customHeight="false" outlineLevel="0" collapsed="false">
      <c r="A1106" s="92" t="str">
        <f aca="false">Gov_Map!$H350&amp;""</f>
        <v>—</v>
      </c>
      <c r="B1106" s="73" t="s">
        <v>8482</v>
      </c>
      <c r="C1106" s="60" t="n">
        <v>350</v>
      </c>
      <c r="D1106" s="60" t="s">
        <v>8483</v>
      </c>
      <c r="E1106" s="60" t="s">
        <v>8483</v>
      </c>
      <c r="F1106" s="61" t="s">
        <v>620</v>
      </c>
    </row>
    <row r="1107" customFormat="false" ht="15" hidden="false" customHeight="false" outlineLevel="0" collapsed="false">
      <c r="A1107" s="92" t="str">
        <f aca="false">Gov_Map!$H351&amp;""</f>
        <v>—</v>
      </c>
      <c r="B1107" s="73" t="s">
        <v>8482</v>
      </c>
      <c r="C1107" s="60" t="n">
        <v>351</v>
      </c>
      <c r="D1107" s="60" t="s">
        <v>8483</v>
      </c>
      <c r="E1107" s="60" t="s">
        <v>8483</v>
      </c>
      <c r="F1107" s="61" t="s">
        <v>620</v>
      </c>
    </row>
    <row r="1108" customFormat="false" ht="15" hidden="false" customHeight="false" outlineLevel="0" collapsed="false">
      <c r="A1108" s="92" t="str">
        <f aca="false">Gov_Map!$H352&amp;""</f>
        <v>—</v>
      </c>
      <c r="B1108" s="73" t="s">
        <v>8482</v>
      </c>
      <c r="C1108" s="60" t="n">
        <v>352</v>
      </c>
      <c r="D1108" s="60" t="s">
        <v>8483</v>
      </c>
      <c r="E1108" s="60" t="s">
        <v>8483</v>
      </c>
      <c r="F1108" s="61" t="s">
        <v>620</v>
      </c>
    </row>
    <row r="1109" customFormat="false" ht="15" hidden="false" customHeight="false" outlineLevel="0" collapsed="false">
      <c r="A1109" s="92" t="str">
        <f aca="false">Gov_Map!$H353&amp;""</f>
        <v>—</v>
      </c>
      <c r="B1109" s="73" t="s">
        <v>8482</v>
      </c>
      <c r="C1109" s="60" t="n">
        <v>353</v>
      </c>
      <c r="D1109" s="60" t="s">
        <v>8483</v>
      </c>
      <c r="E1109" s="60" t="s">
        <v>8483</v>
      </c>
      <c r="F1109" s="61" t="s">
        <v>620</v>
      </c>
    </row>
    <row r="1110" customFormat="false" ht="15" hidden="false" customHeight="false" outlineLevel="0" collapsed="false">
      <c r="A1110" s="92" t="str">
        <f aca="false">Gov_Map!$H354&amp;""</f>
        <v>—</v>
      </c>
      <c r="B1110" s="73" t="s">
        <v>8482</v>
      </c>
      <c r="C1110" s="60" t="n">
        <v>354</v>
      </c>
      <c r="D1110" s="60" t="s">
        <v>8483</v>
      </c>
      <c r="E1110" s="60" t="s">
        <v>8483</v>
      </c>
      <c r="F1110" s="61" t="s">
        <v>620</v>
      </c>
    </row>
    <row r="1111" customFormat="false" ht="15" hidden="false" customHeight="false" outlineLevel="0" collapsed="false">
      <c r="A1111" s="92" t="str">
        <f aca="false">Gov_Map!$H355&amp;""</f>
        <v>—</v>
      </c>
      <c r="B1111" s="73" t="s">
        <v>8482</v>
      </c>
      <c r="C1111" s="60" t="n">
        <v>355</v>
      </c>
      <c r="D1111" s="60" t="s">
        <v>8483</v>
      </c>
      <c r="E1111" s="60" t="s">
        <v>8483</v>
      </c>
      <c r="F1111" s="61" t="s">
        <v>620</v>
      </c>
    </row>
    <row r="1112" customFormat="false" ht="15" hidden="false" customHeight="false" outlineLevel="0" collapsed="false">
      <c r="A1112" s="92" t="str">
        <f aca="false">Gov_Map!$H356&amp;""</f>
        <v>—</v>
      </c>
      <c r="B1112" s="73" t="s">
        <v>8482</v>
      </c>
      <c r="C1112" s="60" t="n">
        <v>356</v>
      </c>
      <c r="D1112" s="60" t="s">
        <v>8483</v>
      </c>
      <c r="E1112" s="60" t="s">
        <v>8483</v>
      </c>
      <c r="F1112" s="61" t="s">
        <v>620</v>
      </c>
    </row>
    <row r="1113" customFormat="false" ht="15" hidden="false" customHeight="false" outlineLevel="0" collapsed="false">
      <c r="A1113" s="92" t="str">
        <f aca="false">Gov_Map!$H357&amp;""</f>
        <v>—</v>
      </c>
      <c r="B1113" s="73" t="s">
        <v>8482</v>
      </c>
      <c r="C1113" s="60" t="n">
        <v>357</v>
      </c>
      <c r="D1113" s="60" t="s">
        <v>8483</v>
      </c>
      <c r="E1113" s="60" t="s">
        <v>8483</v>
      </c>
      <c r="F1113" s="61" t="s">
        <v>620</v>
      </c>
    </row>
    <row r="1114" customFormat="false" ht="15" hidden="false" customHeight="false" outlineLevel="0" collapsed="false">
      <c r="A1114" s="92" t="str">
        <f aca="false">Gov_Map!$H358&amp;""</f>
        <v>—</v>
      </c>
      <c r="B1114" s="73" t="s">
        <v>8482</v>
      </c>
      <c r="C1114" s="60" t="n">
        <v>358</v>
      </c>
      <c r="D1114" s="60" t="s">
        <v>8483</v>
      </c>
      <c r="E1114" s="60" t="s">
        <v>8483</v>
      </c>
      <c r="F1114" s="61" t="s">
        <v>620</v>
      </c>
    </row>
    <row r="1115" customFormat="false" ht="15" hidden="false" customHeight="false" outlineLevel="0" collapsed="false">
      <c r="A1115" s="92" t="str">
        <f aca="false">Gov_Map!$H359&amp;""</f>
        <v>—</v>
      </c>
      <c r="B1115" s="73" t="s">
        <v>8482</v>
      </c>
      <c r="C1115" s="60" t="n">
        <v>359</v>
      </c>
      <c r="D1115" s="60" t="s">
        <v>8483</v>
      </c>
      <c r="E1115" s="60" t="s">
        <v>8483</v>
      </c>
      <c r="F1115" s="61" t="s">
        <v>620</v>
      </c>
    </row>
    <row r="1116" customFormat="false" ht="15" hidden="false" customHeight="false" outlineLevel="0" collapsed="false">
      <c r="A1116" s="92" t="str">
        <f aca="false">Gov_Map!$H360&amp;""</f>
        <v>—</v>
      </c>
      <c r="B1116" s="73" t="s">
        <v>8482</v>
      </c>
      <c r="C1116" s="60" t="n">
        <v>360</v>
      </c>
      <c r="D1116" s="60" t="s">
        <v>8483</v>
      </c>
      <c r="E1116" s="60" t="s">
        <v>8483</v>
      </c>
      <c r="F1116" s="61" t="s">
        <v>620</v>
      </c>
    </row>
    <row r="1117" customFormat="false" ht="15" hidden="false" customHeight="false" outlineLevel="0" collapsed="false">
      <c r="A1117" s="92" t="str">
        <f aca="false">Gov_Map!$H361&amp;""</f>
        <v>SRC_MOD_020</v>
      </c>
      <c r="B1117" s="73" t="s">
        <v>8482</v>
      </c>
      <c r="C1117" s="60" t="n">
        <v>361</v>
      </c>
      <c r="D1117" s="60" t="s">
        <v>8483</v>
      </c>
      <c r="E1117" s="60" t="s">
        <v>8483</v>
      </c>
      <c r="F1117" s="61" t="s">
        <v>620</v>
      </c>
    </row>
    <row r="1118" customFormat="false" ht="15" hidden="false" customHeight="false" outlineLevel="0" collapsed="false">
      <c r="A1118" s="92" t="str">
        <f aca="false">Gov_Map!$H362&amp;""</f>
        <v>SRC_MOD_021</v>
      </c>
      <c r="B1118" s="73" t="s">
        <v>8482</v>
      </c>
      <c r="C1118" s="60" t="n">
        <v>362</v>
      </c>
      <c r="D1118" s="60" t="s">
        <v>8483</v>
      </c>
      <c r="E1118" s="60" t="s">
        <v>8483</v>
      </c>
      <c r="F1118" s="61" t="s">
        <v>620</v>
      </c>
    </row>
    <row r="1119" customFormat="false" ht="15" hidden="false" customHeight="false" outlineLevel="0" collapsed="false">
      <c r="A1119" s="92" t="str">
        <f aca="false">Gov_Map!$H363&amp;""</f>
        <v>SRC_MOD_022</v>
      </c>
      <c r="B1119" s="73" t="s">
        <v>8482</v>
      </c>
      <c r="C1119" s="60" t="n">
        <v>363</v>
      </c>
      <c r="D1119" s="60" t="s">
        <v>8483</v>
      </c>
      <c r="E1119" s="60" t="s">
        <v>8483</v>
      </c>
      <c r="F1119" s="61" t="s">
        <v>620</v>
      </c>
    </row>
    <row r="1120" customFormat="false" ht="15" hidden="false" customHeight="false" outlineLevel="0" collapsed="false">
      <c r="A1120" s="92" t="str">
        <f aca="false">Gov_Map!$H364&amp;""</f>
        <v>SRC_MOD_023</v>
      </c>
      <c r="B1120" s="73" t="s">
        <v>8482</v>
      </c>
      <c r="C1120" s="60" t="n">
        <v>364</v>
      </c>
      <c r="D1120" s="60" t="s">
        <v>8483</v>
      </c>
      <c r="E1120" s="60" t="s">
        <v>8483</v>
      </c>
      <c r="F1120" s="61" t="s">
        <v>620</v>
      </c>
    </row>
    <row r="1121" customFormat="false" ht="15" hidden="false" customHeight="false" outlineLevel="0" collapsed="false">
      <c r="A1121" s="92" t="str">
        <f aca="false">Gov_Map!$H365&amp;""</f>
        <v>SRC_MOD_024</v>
      </c>
      <c r="B1121" s="73" t="s">
        <v>8482</v>
      </c>
      <c r="C1121" s="60" t="n">
        <v>365</v>
      </c>
      <c r="D1121" s="60" t="s">
        <v>8483</v>
      </c>
      <c r="E1121" s="60" t="s">
        <v>8483</v>
      </c>
      <c r="F1121" s="61" t="s">
        <v>620</v>
      </c>
    </row>
    <row r="1122" customFormat="false" ht="15" hidden="false" customHeight="false" outlineLevel="0" collapsed="false">
      <c r="A1122" s="92" t="str">
        <f aca="false">Gov_Map!$H366&amp;""</f>
        <v>SRC_MOD_025</v>
      </c>
      <c r="B1122" s="73" t="s">
        <v>8482</v>
      </c>
      <c r="C1122" s="60" t="n">
        <v>366</v>
      </c>
      <c r="D1122" s="60" t="s">
        <v>8483</v>
      </c>
      <c r="E1122" s="60" t="s">
        <v>8483</v>
      </c>
      <c r="F1122" s="61" t="s">
        <v>620</v>
      </c>
    </row>
    <row r="1123" customFormat="false" ht="15" hidden="false" customHeight="false" outlineLevel="0" collapsed="false">
      <c r="A1123" s="92" t="str">
        <f aca="false">Gov_Map!$H367&amp;""</f>
        <v>SRC_MOD_026</v>
      </c>
      <c r="B1123" s="73" t="s">
        <v>8482</v>
      </c>
      <c r="C1123" s="60" t="n">
        <v>367</v>
      </c>
      <c r="D1123" s="60" t="s">
        <v>8483</v>
      </c>
      <c r="E1123" s="60" t="s">
        <v>8483</v>
      </c>
      <c r="F1123" s="61" t="s">
        <v>620</v>
      </c>
    </row>
    <row r="1124" customFormat="false" ht="15" hidden="false" customHeight="false" outlineLevel="0" collapsed="false">
      <c r="A1124" s="92" t="str">
        <f aca="false">Gov_Map!$H368&amp;""</f>
        <v>SRC_MOD_027</v>
      </c>
      <c r="B1124" s="73" t="s">
        <v>8482</v>
      </c>
      <c r="C1124" s="60" t="n">
        <v>368</v>
      </c>
      <c r="D1124" s="60" t="s">
        <v>8483</v>
      </c>
      <c r="E1124" s="60" t="s">
        <v>8483</v>
      </c>
      <c r="F1124" s="61" t="s">
        <v>620</v>
      </c>
    </row>
    <row r="1125" customFormat="false" ht="15" hidden="false" customHeight="false" outlineLevel="0" collapsed="false">
      <c r="A1125" s="92" t="str">
        <f aca="false">Gov_Map!$H369&amp;""</f>
        <v>SRC_MOD_028</v>
      </c>
      <c r="B1125" s="73" t="s">
        <v>8482</v>
      </c>
      <c r="C1125" s="60" t="n">
        <v>369</v>
      </c>
      <c r="D1125" s="60" t="s">
        <v>8483</v>
      </c>
      <c r="E1125" s="60" t="s">
        <v>8483</v>
      </c>
      <c r="F1125" s="61" t="s">
        <v>620</v>
      </c>
    </row>
    <row r="1126" customFormat="false" ht="15" hidden="false" customHeight="false" outlineLevel="0" collapsed="false">
      <c r="A1126" s="92" t="str">
        <f aca="false">Gov_Map!$H370&amp;""</f>
        <v>SRC_MOD_049</v>
      </c>
      <c r="B1126" s="73" t="s">
        <v>8482</v>
      </c>
      <c r="C1126" s="60" t="n">
        <v>370</v>
      </c>
      <c r="D1126" s="60" t="s">
        <v>8483</v>
      </c>
      <c r="E1126" s="60" t="s">
        <v>8483</v>
      </c>
      <c r="F1126" s="61" t="s">
        <v>620</v>
      </c>
    </row>
    <row r="1127" customFormat="false" ht="15" hidden="false" customHeight="false" outlineLevel="0" collapsed="false">
      <c r="A1127" s="92" t="str">
        <f aca="false">Gov_Map!$H371&amp;""</f>
        <v>SRC_PERF_029</v>
      </c>
      <c r="B1127" s="73" t="s">
        <v>8482</v>
      </c>
      <c r="C1127" s="60" t="n">
        <v>371</v>
      </c>
      <c r="D1127" s="60" t="s">
        <v>8483</v>
      </c>
      <c r="E1127" s="60" t="s">
        <v>8483</v>
      </c>
      <c r="F1127" s="61" t="s">
        <v>620</v>
      </c>
    </row>
    <row r="1128" customFormat="false" ht="15" hidden="false" customHeight="false" outlineLevel="0" collapsed="false">
      <c r="A1128" s="92" t="str">
        <f aca="false">Gov_Map!$H372&amp;""</f>
        <v>SRC_PERF_030</v>
      </c>
      <c r="B1128" s="73" t="s">
        <v>8482</v>
      </c>
      <c r="C1128" s="60" t="n">
        <v>372</v>
      </c>
      <c r="D1128" s="60" t="s">
        <v>8483</v>
      </c>
      <c r="E1128" s="60" t="s">
        <v>8483</v>
      </c>
      <c r="F1128" s="61" t="s">
        <v>620</v>
      </c>
    </row>
    <row r="1129" customFormat="false" ht="15" hidden="false" customHeight="false" outlineLevel="0" collapsed="false">
      <c r="A1129" s="92" t="str">
        <f aca="false">Gov_Map!$H373&amp;""</f>
        <v>—</v>
      </c>
      <c r="B1129" s="73" t="s">
        <v>8482</v>
      </c>
      <c r="C1129" s="60" t="n">
        <v>373</v>
      </c>
      <c r="D1129" s="60" t="s">
        <v>8483</v>
      </c>
      <c r="E1129" s="60" t="s">
        <v>8483</v>
      </c>
      <c r="F1129" s="61" t="s">
        <v>620</v>
      </c>
    </row>
    <row r="1130" customFormat="false" ht="15" hidden="false" customHeight="false" outlineLevel="0" collapsed="false">
      <c r="A1130" s="92" t="str">
        <f aca="false">Gov_Map!$H374&amp;""</f>
        <v>SRC_PERF_031</v>
      </c>
      <c r="B1130" s="73" t="s">
        <v>8482</v>
      </c>
      <c r="C1130" s="60" t="n">
        <v>374</v>
      </c>
      <c r="D1130" s="60" t="s">
        <v>8483</v>
      </c>
      <c r="E1130" s="60" t="s">
        <v>8483</v>
      </c>
      <c r="F1130" s="61" t="s">
        <v>620</v>
      </c>
    </row>
    <row r="1131" customFormat="false" ht="15" hidden="false" customHeight="false" outlineLevel="0" collapsed="false">
      <c r="A1131" s="92" t="str">
        <f aca="false">Gov_Map!$H375&amp;""</f>
        <v>SRC_PERF_031</v>
      </c>
      <c r="B1131" s="73" t="s">
        <v>8482</v>
      </c>
      <c r="C1131" s="60" t="n">
        <v>375</v>
      </c>
      <c r="D1131" s="60" t="s">
        <v>8483</v>
      </c>
      <c r="E1131" s="60" t="s">
        <v>8483</v>
      </c>
      <c r="F1131" s="61" t="s">
        <v>620</v>
      </c>
    </row>
    <row r="1132" customFormat="false" ht="15" hidden="false" customHeight="false" outlineLevel="0" collapsed="false">
      <c r="A1132" s="92" t="str">
        <f aca="false">Gov_Map!$H376&amp;""</f>
        <v>SRC_PERF_031</v>
      </c>
      <c r="B1132" s="73" t="s">
        <v>8482</v>
      </c>
      <c r="C1132" s="60" t="n">
        <v>376</v>
      </c>
      <c r="D1132" s="60" t="s">
        <v>8483</v>
      </c>
      <c r="E1132" s="60" t="s">
        <v>8483</v>
      </c>
      <c r="F1132" s="61" t="s">
        <v>620</v>
      </c>
    </row>
    <row r="1133" customFormat="false" ht="15" hidden="false" customHeight="false" outlineLevel="0" collapsed="false">
      <c r="A1133" s="92" t="str">
        <f aca="false">Gov_Map!$H377&amp;""</f>
        <v>SRC_PERF_032</v>
      </c>
      <c r="B1133" s="73" t="s">
        <v>8482</v>
      </c>
      <c r="C1133" s="60" t="n">
        <v>377</v>
      </c>
      <c r="D1133" s="60" t="s">
        <v>8483</v>
      </c>
      <c r="E1133" s="60" t="s">
        <v>8483</v>
      </c>
      <c r="F1133" s="61" t="s">
        <v>620</v>
      </c>
    </row>
    <row r="1134" customFormat="false" ht="15" hidden="false" customHeight="false" outlineLevel="0" collapsed="false">
      <c r="A1134" s="92" t="str">
        <f aca="false">Gov_Map!$H378&amp;""</f>
        <v>SRC_PERF_035</v>
      </c>
      <c r="B1134" s="73" t="s">
        <v>8482</v>
      </c>
      <c r="C1134" s="60" t="n">
        <v>378</v>
      </c>
      <c r="D1134" s="60" t="s">
        <v>8483</v>
      </c>
      <c r="E1134" s="60" t="s">
        <v>8483</v>
      </c>
      <c r="F1134" s="61" t="s">
        <v>620</v>
      </c>
    </row>
    <row r="1135" customFormat="false" ht="15" hidden="false" customHeight="false" outlineLevel="0" collapsed="false">
      <c r="A1135" s="92" t="str">
        <f aca="false">Gov_Map!$H379&amp;""</f>
        <v>SRC_PERF_035</v>
      </c>
      <c r="B1135" s="73" t="s">
        <v>8482</v>
      </c>
      <c r="C1135" s="60" t="n">
        <v>379</v>
      </c>
      <c r="D1135" s="60" t="s">
        <v>8483</v>
      </c>
      <c r="E1135" s="60" t="s">
        <v>8483</v>
      </c>
      <c r="F1135" s="61" t="s">
        <v>620</v>
      </c>
    </row>
    <row r="1136" customFormat="false" ht="15" hidden="false" customHeight="false" outlineLevel="0" collapsed="false">
      <c r="A1136" s="92" t="str">
        <f aca="false">Gov_Map!$H380&amp;""</f>
        <v>SRC_PERF_035</v>
      </c>
      <c r="B1136" s="73" t="s">
        <v>8482</v>
      </c>
      <c r="C1136" s="60" t="n">
        <v>380</v>
      </c>
      <c r="D1136" s="60" t="s">
        <v>8483</v>
      </c>
      <c r="E1136" s="60" t="s">
        <v>8483</v>
      </c>
      <c r="F1136" s="61" t="s">
        <v>620</v>
      </c>
    </row>
    <row r="1137" customFormat="false" ht="15" hidden="false" customHeight="false" outlineLevel="0" collapsed="false">
      <c r="A1137" s="92" t="str">
        <f aca="false">Gov_Map!$H381&amp;""</f>
        <v>SRC_PERF_035</v>
      </c>
      <c r="B1137" s="73" t="s">
        <v>8482</v>
      </c>
      <c r="C1137" s="60" t="n">
        <v>381</v>
      </c>
      <c r="D1137" s="60" t="s">
        <v>8483</v>
      </c>
      <c r="E1137" s="60" t="s">
        <v>8483</v>
      </c>
      <c r="F1137" s="61" t="s">
        <v>620</v>
      </c>
    </row>
    <row r="1138" customFormat="false" ht="15" hidden="false" customHeight="false" outlineLevel="0" collapsed="false">
      <c r="A1138" s="92" t="str">
        <f aca="false">Gov_Map!$H382&amp;""</f>
        <v>SRC_PERF_028</v>
      </c>
      <c r="B1138" s="73" t="s">
        <v>8482</v>
      </c>
      <c r="C1138" s="60" t="n">
        <v>382</v>
      </c>
      <c r="D1138" s="60" t="s">
        <v>8483</v>
      </c>
      <c r="E1138" s="60" t="s">
        <v>8483</v>
      </c>
      <c r="F1138" s="61" t="s">
        <v>620</v>
      </c>
    </row>
    <row r="1139" customFormat="false" ht="15" hidden="false" customHeight="false" outlineLevel="0" collapsed="false">
      <c r="A1139" s="92" t="str">
        <f aca="false">Gov_Map!$H383&amp;""</f>
        <v>SRC_PERF_025</v>
      </c>
      <c r="B1139" s="73" t="s">
        <v>8482</v>
      </c>
      <c r="C1139" s="60" t="n">
        <v>383</v>
      </c>
      <c r="D1139" s="60" t="s">
        <v>8483</v>
      </c>
      <c r="E1139" s="60" t="s">
        <v>8483</v>
      </c>
      <c r="F1139" s="61" t="s">
        <v>620</v>
      </c>
    </row>
    <row r="1140" customFormat="false" ht="15" hidden="false" customHeight="false" outlineLevel="0" collapsed="false">
      <c r="A1140" s="92" t="str">
        <f aca="false">Gov_Map!$H384&amp;""</f>
        <v>SRC_PERF_027</v>
      </c>
      <c r="B1140" s="73" t="s">
        <v>8482</v>
      </c>
      <c r="C1140" s="60" t="n">
        <v>384</v>
      </c>
      <c r="D1140" s="60" t="s">
        <v>8483</v>
      </c>
      <c r="E1140" s="60" t="s">
        <v>8483</v>
      </c>
      <c r="F1140" s="61" t="s">
        <v>620</v>
      </c>
    </row>
    <row r="1141" customFormat="false" ht="15" hidden="false" customHeight="false" outlineLevel="0" collapsed="false">
      <c r="A1141" s="92" t="str">
        <f aca="false">Gov_Map!$H385&amp;""</f>
        <v>SRC_PERF_026</v>
      </c>
      <c r="B1141" s="73" t="s">
        <v>8482</v>
      </c>
      <c r="C1141" s="60" t="n">
        <v>385</v>
      </c>
      <c r="D1141" s="60" t="s">
        <v>8483</v>
      </c>
      <c r="E1141" s="60" t="s">
        <v>8483</v>
      </c>
      <c r="F1141" s="61" t="s">
        <v>620</v>
      </c>
    </row>
    <row r="1142" customFormat="false" ht="15" hidden="false" customHeight="false" outlineLevel="0" collapsed="false">
      <c r="A1142" s="92" t="str">
        <f aca="false">Gov_Map!$H386&amp;""</f>
        <v>—</v>
      </c>
      <c r="B1142" s="73" t="s">
        <v>8482</v>
      </c>
      <c r="C1142" s="60" t="n">
        <v>386</v>
      </c>
      <c r="D1142" s="60" t="s">
        <v>8483</v>
      </c>
      <c r="E1142" s="60" t="s">
        <v>8483</v>
      </c>
      <c r="F1142" s="61" t="s">
        <v>620</v>
      </c>
    </row>
    <row r="1143" customFormat="false" ht="15" hidden="false" customHeight="false" outlineLevel="0" collapsed="false">
      <c r="A1143" s="92" t="str">
        <f aca="false">Gov_Map!$H387&amp;""</f>
        <v>SRC_HW_035</v>
      </c>
      <c r="B1143" s="73" t="s">
        <v>8482</v>
      </c>
      <c r="C1143" s="60" t="n">
        <v>387</v>
      </c>
      <c r="D1143" s="60" t="s">
        <v>8483</v>
      </c>
      <c r="E1143" s="60" t="s">
        <v>8483</v>
      </c>
      <c r="F1143" s="61" t="s">
        <v>620</v>
      </c>
    </row>
    <row r="1144" customFormat="false" ht="15" hidden="false" customHeight="false" outlineLevel="0" collapsed="false">
      <c r="A1144" s="92" t="str">
        <f aca="false">Gov_Map!$H388&amp;""</f>
        <v>—</v>
      </c>
      <c r="B1144" s="73" t="s">
        <v>8482</v>
      </c>
      <c r="C1144" s="60" t="n">
        <v>388</v>
      </c>
      <c r="D1144" s="60" t="s">
        <v>8483</v>
      </c>
      <c r="E1144" s="60" t="s">
        <v>8483</v>
      </c>
      <c r="F1144" s="61" t="s">
        <v>620</v>
      </c>
    </row>
    <row r="1145" customFormat="false" ht="15" hidden="false" customHeight="false" outlineLevel="0" collapsed="false">
      <c r="A1145" s="92" t="str">
        <f aca="false">Gov_Map!$H389&amp;""</f>
        <v>—</v>
      </c>
      <c r="B1145" s="73" t="s">
        <v>8482</v>
      </c>
      <c r="C1145" s="60" t="n">
        <v>389</v>
      </c>
      <c r="D1145" s="60" t="s">
        <v>8483</v>
      </c>
      <c r="E1145" s="60" t="s">
        <v>8483</v>
      </c>
      <c r="F1145" s="61" t="s">
        <v>620</v>
      </c>
    </row>
    <row r="1146" customFormat="false" ht="15" hidden="false" customHeight="false" outlineLevel="0" collapsed="false">
      <c r="A1146" s="92" t="str">
        <f aca="false">Gov_Map!$H390&amp;""</f>
        <v>—</v>
      </c>
      <c r="B1146" s="73" t="s">
        <v>8482</v>
      </c>
      <c r="C1146" s="60" t="n">
        <v>390</v>
      </c>
      <c r="D1146" s="60" t="s">
        <v>8483</v>
      </c>
      <c r="E1146" s="60" t="s">
        <v>8483</v>
      </c>
      <c r="F1146" s="61" t="s">
        <v>620</v>
      </c>
    </row>
    <row r="1147" customFormat="false" ht="15" hidden="false" customHeight="false" outlineLevel="0" collapsed="false">
      <c r="A1147" s="92" t="str">
        <f aca="false">Gov_Map!$H391&amp;""</f>
        <v>—</v>
      </c>
      <c r="B1147" s="73" t="s">
        <v>8482</v>
      </c>
      <c r="C1147" s="60" t="n">
        <v>391</v>
      </c>
      <c r="D1147" s="60" t="s">
        <v>8483</v>
      </c>
      <c r="E1147" s="60" t="s">
        <v>8483</v>
      </c>
      <c r="F1147" s="61" t="s">
        <v>620</v>
      </c>
    </row>
    <row r="1148" customFormat="false" ht="15" hidden="false" customHeight="false" outlineLevel="0" collapsed="false">
      <c r="A1148" s="92" t="str">
        <f aca="false">Gov_Map!$H392&amp;""</f>
        <v>—</v>
      </c>
      <c r="B1148" s="73" t="s">
        <v>8482</v>
      </c>
      <c r="C1148" s="60" t="n">
        <v>392</v>
      </c>
      <c r="D1148" s="60" t="s">
        <v>8483</v>
      </c>
      <c r="E1148" s="60" t="s">
        <v>8483</v>
      </c>
      <c r="F1148" s="61" t="s">
        <v>620</v>
      </c>
    </row>
    <row r="1149" customFormat="false" ht="15" hidden="false" customHeight="false" outlineLevel="0" collapsed="false">
      <c r="A1149" s="92" t="str">
        <f aca="false">Gov_Map!$H393&amp;""</f>
        <v>—</v>
      </c>
      <c r="B1149" s="73" t="s">
        <v>8482</v>
      </c>
      <c r="C1149" s="60" t="n">
        <v>393</v>
      </c>
      <c r="D1149" s="60" t="s">
        <v>8483</v>
      </c>
      <c r="E1149" s="60" t="s">
        <v>8483</v>
      </c>
      <c r="F1149" s="61" t="s">
        <v>620</v>
      </c>
    </row>
    <row r="1150" customFormat="false" ht="15" hidden="false" customHeight="false" outlineLevel="0" collapsed="false">
      <c r="A1150" s="92" t="str">
        <f aca="false">Gov_Map!$H394&amp;""</f>
        <v>—</v>
      </c>
      <c r="B1150" s="73" t="s">
        <v>8482</v>
      </c>
      <c r="C1150" s="60" t="n">
        <v>394</v>
      </c>
      <c r="D1150" s="60" t="s">
        <v>8483</v>
      </c>
      <c r="E1150" s="60" t="s">
        <v>8483</v>
      </c>
      <c r="F1150" s="61" t="s">
        <v>620</v>
      </c>
    </row>
    <row r="1151" customFormat="false" ht="15" hidden="false" customHeight="false" outlineLevel="0" collapsed="false">
      <c r="A1151" s="92" t="str">
        <f aca="false">Gov_Map!$H395&amp;""</f>
        <v>—</v>
      </c>
      <c r="B1151" s="73" t="s">
        <v>8482</v>
      </c>
      <c r="C1151" s="60" t="n">
        <v>395</v>
      </c>
      <c r="D1151" s="60" t="s">
        <v>8483</v>
      </c>
      <c r="E1151" s="60" t="s">
        <v>8483</v>
      </c>
      <c r="F1151" s="61" t="s">
        <v>620</v>
      </c>
    </row>
    <row r="1152" customFormat="false" ht="15" hidden="false" customHeight="false" outlineLevel="0" collapsed="false">
      <c r="A1152" s="92" t="str">
        <f aca="false">Gov_Map!$H396&amp;""</f>
        <v>—</v>
      </c>
      <c r="B1152" s="73" t="s">
        <v>8482</v>
      </c>
      <c r="C1152" s="60" t="n">
        <v>396</v>
      </c>
      <c r="D1152" s="60" t="s">
        <v>8483</v>
      </c>
      <c r="E1152" s="60" t="s">
        <v>8483</v>
      </c>
      <c r="F1152" s="61" t="s">
        <v>620</v>
      </c>
    </row>
    <row r="1153" customFormat="false" ht="15" hidden="false" customHeight="false" outlineLevel="0" collapsed="false">
      <c r="A1153" s="92" t="str">
        <f aca="false">Gov_Map!$H397&amp;""</f>
        <v>—</v>
      </c>
      <c r="B1153" s="73" t="s">
        <v>8482</v>
      </c>
      <c r="C1153" s="60" t="n">
        <v>397</v>
      </c>
      <c r="D1153" s="60" t="s">
        <v>8483</v>
      </c>
      <c r="E1153" s="60" t="s">
        <v>8483</v>
      </c>
      <c r="F1153" s="61" t="s">
        <v>620</v>
      </c>
    </row>
    <row r="1154" customFormat="false" ht="15" hidden="false" customHeight="false" outlineLevel="0" collapsed="false">
      <c r="A1154" s="92" t="str">
        <f aca="false">Gov_Map!$H398&amp;""</f>
        <v>—</v>
      </c>
      <c r="B1154" s="73" t="s">
        <v>8482</v>
      </c>
      <c r="C1154" s="60" t="n">
        <v>398</v>
      </c>
      <c r="D1154" s="60" t="s">
        <v>8483</v>
      </c>
      <c r="E1154" s="60" t="s">
        <v>8483</v>
      </c>
      <c r="F1154" s="61" t="s">
        <v>620</v>
      </c>
    </row>
    <row r="1155" customFormat="false" ht="15" hidden="false" customHeight="false" outlineLevel="0" collapsed="false">
      <c r="A1155" s="92" t="str">
        <f aca="false">Gov_Map!$H399&amp;""</f>
        <v>—</v>
      </c>
      <c r="B1155" s="73" t="s">
        <v>8482</v>
      </c>
      <c r="C1155" s="60" t="n">
        <v>399</v>
      </c>
      <c r="D1155" s="60" t="s">
        <v>8483</v>
      </c>
      <c r="E1155" s="60" t="s">
        <v>8483</v>
      </c>
      <c r="F1155" s="61" t="s">
        <v>620</v>
      </c>
    </row>
    <row r="1156" customFormat="false" ht="15" hidden="false" customHeight="false" outlineLevel="0" collapsed="false">
      <c r="A1156" s="92" t="str">
        <f aca="false">Gov_Map!$H400&amp;""</f>
        <v>—</v>
      </c>
      <c r="B1156" s="73" t="s">
        <v>8482</v>
      </c>
      <c r="C1156" s="60" t="n">
        <v>400</v>
      </c>
      <c r="D1156" s="60" t="s">
        <v>8483</v>
      </c>
      <c r="E1156" s="60" t="s">
        <v>8483</v>
      </c>
      <c r="F1156" s="61" t="s">
        <v>620</v>
      </c>
    </row>
    <row r="1157" customFormat="false" ht="15" hidden="false" customHeight="false" outlineLevel="0" collapsed="false">
      <c r="A1157" s="92" t="str">
        <f aca="false">Gov_Map!$H401&amp;""</f>
        <v>—</v>
      </c>
      <c r="B1157" s="73" t="s">
        <v>8482</v>
      </c>
      <c r="C1157" s="60" t="n">
        <v>401</v>
      </c>
      <c r="D1157" s="60" t="s">
        <v>8483</v>
      </c>
      <c r="E1157" s="60" t="s">
        <v>8483</v>
      </c>
      <c r="F1157" s="61" t="s">
        <v>620</v>
      </c>
    </row>
    <row r="1158" customFormat="false" ht="15" hidden="false" customHeight="false" outlineLevel="0" collapsed="false">
      <c r="A1158" s="92" t="str">
        <f aca="false">Gov_Map!$H402&amp;""</f>
        <v>—</v>
      </c>
      <c r="B1158" s="73" t="s">
        <v>8482</v>
      </c>
      <c r="C1158" s="60" t="n">
        <v>402</v>
      </c>
      <c r="D1158" s="60" t="s">
        <v>8483</v>
      </c>
      <c r="E1158" s="60" t="s">
        <v>8483</v>
      </c>
      <c r="F1158" s="61" t="s">
        <v>620</v>
      </c>
    </row>
    <row r="1159" customFormat="false" ht="15" hidden="false" customHeight="false" outlineLevel="0" collapsed="false">
      <c r="A1159" s="92" t="str">
        <f aca="false">Gov_Map!$H403&amp;""</f>
        <v>—</v>
      </c>
      <c r="B1159" s="73" t="s">
        <v>8482</v>
      </c>
      <c r="C1159" s="60" t="n">
        <v>403</v>
      </c>
      <c r="D1159" s="60" t="s">
        <v>8483</v>
      </c>
      <c r="E1159" s="60" t="s">
        <v>8483</v>
      </c>
      <c r="F1159" s="61" t="s">
        <v>620</v>
      </c>
    </row>
    <row r="1160" customFormat="false" ht="15" hidden="false" customHeight="false" outlineLevel="0" collapsed="false">
      <c r="A1160" s="92" t="str">
        <f aca="false">Gov_Map!$H404&amp;""</f>
        <v>—</v>
      </c>
      <c r="B1160" s="73" t="s">
        <v>8482</v>
      </c>
      <c r="C1160" s="60" t="n">
        <v>404</v>
      </c>
      <c r="D1160" s="60" t="s">
        <v>8483</v>
      </c>
      <c r="E1160" s="60" t="s">
        <v>8483</v>
      </c>
      <c r="F1160" s="61" t="s">
        <v>620</v>
      </c>
    </row>
    <row r="1161" customFormat="false" ht="15" hidden="false" customHeight="false" outlineLevel="0" collapsed="false">
      <c r="A1161" s="92" t="str">
        <f aca="false">Gov_Map!$H405&amp;""</f>
        <v>—</v>
      </c>
      <c r="B1161" s="73" t="s">
        <v>8482</v>
      </c>
      <c r="C1161" s="60" t="n">
        <v>405</v>
      </c>
      <c r="D1161" s="60" t="s">
        <v>8483</v>
      </c>
      <c r="E1161" s="60" t="s">
        <v>8483</v>
      </c>
      <c r="F1161" s="61" t="s">
        <v>620</v>
      </c>
    </row>
    <row r="1162" customFormat="false" ht="15" hidden="false" customHeight="false" outlineLevel="0" collapsed="false">
      <c r="A1162" s="92" t="str">
        <f aca="false">Gov_Map!$H406&amp;""</f>
        <v>—</v>
      </c>
      <c r="B1162" s="73" t="s">
        <v>8482</v>
      </c>
      <c r="C1162" s="60" t="n">
        <v>406</v>
      </c>
      <c r="D1162" s="60" t="s">
        <v>8483</v>
      </c>
      <c r="E1162" s="60" t="s">
        <v>8483</v>
      </c>
      <c r="F1162" s="61" t="s">
        <v>620</v>
      </c>
    </row>
    <row r="1163" customFormat="false" ht="15" hidden="false" customHeight="false" outlineLevel="0" collapsed="false">
      <c r="A1163" s="92" t="str">
        <f aca="false">Gov_Map!$H407&amp;""</f>
        <v>—</v>
      </c>
      <c r="B1163" s="73" t="s">
        <v>8482</v>
      </c>
      <c r="C1163" s="60" t="n">
        <v>407</v>
      </c>
      <c r="D1163" s="60" t="s">
        <v>8483</v>
      </c>
      <c r="E1163" s="60" t="s">
        <v>8483</v>
      </c>
      <c r="F1163" s="61" t="s">
        <v>620</v>
      </c>
    </row>
    <row r="1164" customFormat="false" ht="15" hidden="false" customHeight="false" outlineLevel="0" collapsed="false">
      <c r="A1164" s="92" t="str">
        <f aca="false">Gov_Map!$H408&amp;""</f>
        <v>—</v>
      </c>
      <c r="B1164" s="73" t="s">
        <v>8482</v>
      </c>
      <c r="C1164" s="60" t="n">
        <v>408</v>
      </c>
      <c r="D1164" s="60" t="s">
        <v>8483</v>
      </c>
      <c r="E1164" s="60" t="s">
        <v>8483</v>
      </c>
      <c r="F1164" s="61" t="s">
        <v>620</v>
      </c>
    </row>
    <row r="1165" customFormat="false" ht="15" hidden="false" customHeight="false" outlineLevel="0" collapsed="false">
      <c r="A1165" s="92" t="str">
        <f aca="false">Gov_Map!$H409&amp;""</f>
        <v>—</v>
      </c>
      <c r="B1165" s="73" t="s">
        <v>8482</v>
      </c>
      <c r="C1165" s="60" t="n">
        <v>409</v>
      </c>
      <c r="D1165" s="60" t="s">
        <v>8483</v>
      </c>
      <c r="E1165" s="60" t="s">
        <v>8483</v>
      </c>
      <c r="F1165" s="61" t="s">
        <v>620</v>
      </c>
    </row>
    <row r="1166" customFormat="false" ht="15" hidden="false" customHeight="false" outlineLevel="0" collapsed="false">
      <c r="A1166" s="92" t="str">
        <f aca="false">Gov_Map!$H410&amp;""</f>
        <v>—</v>
      </c>
      <c r="B1166" s="73" t="s">
        <v>8482</v>
      </c>
      <c r="C1166" s="60" t="n">
        <v>410</v>
      </c>
      <c r="D1166" s="60" t="s">
        <v>8483</v>
      </c>
      <c r="E1166" s="60" t="s">
        <v>8483</v>
      </c>
      <c r="F1166" s="61" t="s">
        <v>620</v>
      </c>
    </row>
    <row r="1167" customFormat="false" ht="15" hidden="false" customHeight="false" outlineLevel="0" collapsed="false">
      <c r="A1167" s="92" t="str">
        <f aca="false">Gov_Map!$H411&amp;""</f>
        <v>—</v>
      </c>
      <c r="B1167" s="73" t="s">
        <v>8482</v>
      </c>
      <c r="C1167" s="60" t="n">
        <v>411</v>
      </c>
      <c r="D1167" s="60" t="s">
        <v>8483</v>
      </c>
      <c r="E1167" s="60" t="s">
        <v>8483</v>
      </c>
      <c r="F1167" s="61" t="s">
        <v>620</v>
      </c>
    </row>
    <row r="1168" customFormat="false" ht="15" hidden="false" customHeight="false" outlineLevel="0" collapsed="false">
      <c r="A1168" s="92" t="str">
        <f aca="false">Gov_Map!$H412&amp;""</f>
        <v>—</v>
      </c>
      <c r="B1168" s="73" t="s">
        <v>8482</v>
      </c>
      <c r="C1168" s="60" t="n">
        <v>412</v>
      </c>
      <c r="D1168" s="60" t="s">
        <v>8483</v>
      </c>
      <c r="E1168" s="60" t="s">
        <v>8483</v>
      </c>
      <c r="F1168" s="61" t="s">
        <v>620</v>
      </c>
    </row>
    <row r="1169" customFormat="false" ht="15" hidden="false" customHeight="false" outlineLevel="0" collapsed="false">
      <c r="A1169" s="92" t="str">
        <f aca="false">Gov_Map!$H413&amp;""</f>
        <v>—</v>
      </c>
      <c r="B1169" s="73" t="s">
        <v>8482</v>
      </c>
      <c r="C1169" s="60" t="n">
        <v>413</v>
      </c>
      <c r="D1169" s="60" t="s">
        <v>8483</v>
      </c>
      <c r="E1169" s="60" t="s">
        <v>8483</v>
      </c>
      <c r="F1169" s="61" t="s">
        <v>620</v>
      </c>
    </row>
    <row r="1170" customFormat="false" ht="15" hidden="false" customHeight="false" outlineLevel="0" collapsed="false">
      <c r="A1170" s="92" t="str">
        <f aca="false">Gov_Map!$H414&amp;""</f>
        <v>—</v>
      </c>
      <c r="B1170" s="73" t="s">
        <v>8482</v>
      </c>
      <c r="C1170" s="60" t="n">
        <v>414</v>
      </c>
      <c r="D1170" s="60" t="s">
        <v>8483</v>
      </c>
      <c r="E1170" s="60" t="s">
        <v>8483</v>
      </c>
      <c r="F1170" s="61" t="s">
        <v>620</v>
      </c>
    </row>
    <row r="1171" customFormat="false" ht="15" hidden="false" customHeight="false" outlineLevel="0" collapsed="false">
      <c r="A1171" s="92" t="str">
        <f aca="false">Gov_Map!$H415&amp;""</f>
        <v>—</v>
      </c>
      <c r="B1171" s="73" t="s">
        <v>8482</v>
      </c>
      <c r="C1171" s="60" t="n">
        <v>415</v>
      </c>
      <c r="D1171" s="60" t="s">
        <v>8483</v>
      </c>
      <c r="E1171" s="60" t="s">
        <v>8483</v>
      </c>
      <c r="F1171" s="61" t="s">
        <v>620</v>
      </c>
    </row>
    <row r="1172" customFormat="false" ht="15" hidden="false" customHeight="false" outlineLevel="0" collapsed="false">
      <c r="A1172" s="92" t="str">
        <f aca="false">Gov_Map!$H416&amp;""</f>
        <v>—</v>
      </c>
      <c r="B1172" s="73" t="s">
        <v>8482</v>
      </c>
      <c r="C1172" s="60" t="n">
        <v>416</v>
      </c>
      <c r="D1172" s="60" t="s">
        <v>8483</v>
      </c>
      <c r="E1172" s="60" t="s">
        <v>8483</v>
      </c>
      <c r="F1172" s="61" t="s">
        <v>620</v>
      </c>
    </row>
    <row r="1173" customFormat="false" ht="15" hidden="false" customHeight="false" outlineLevel="0" collapsed="false">
      <c r="A1173" s="92" t="str">
        <f aca="false">Gov_Map!$H417&amp;""</f>
        <v>—</v>
      </c>
      <c r="B1173" s="73" t="s">
        <v>8482</v>
      </c>
      <c r="C1173" s="60" t="n">
        <v>417</v>
      </c>
      <c r="D1173" s="60" t="s">
        <v>8483</v>
      </c>
      <c r="E1173" s="60" t="s">
        <v>8483</v>
      </c>
      <c r="F1173" s="61" t="s">
        <v>620</v>
      </c>
    </row>
    <row r="1174" customFormat="false" ht="15" hidden="false" customHeight="false" outlineLevel="0" collapsed="false">
      <c r="A1174" s="92" t="str">
        <f aca="false">Gov_Map!$H418&amp;""</f>
        <v>—</v>
      </c>
      <c r="B1174" s="73" t="s">
        <v>8482</v>
      </c>
      <c r="C1174" s="60" t="n">
        <v>418</v>
      </c>
      <c r="D1174" s="60" t="s">
        <v>8483</v>
      </c>
      <c r="E1174" s="60" t="s">
        <v>8483</v>
      </c>
      <c r="F1174" s="61" t="s">
        <v>620</v>
      </c>
    </row>
    <row r="1175" customFormat="false" ht="15" hidden="false" customHeight="false" outlineLevel="0" collapsed="false">
      <c r="A1175" s="92" t="str">
        <f aca="false">Gov_Map!$H419&amp;""</f>
        <v>—</v>
      </c>
      <c r="B1175" s="73" t="s">
        <v>8482</v>
      </c>
      <c r="C1175" s="60" t="n">
        <v>419</v>
      </c>
      <c r="D1175" s="60" t="s">
        <v>8483</v>
      </c>
      <c r="E1175" s="60" t="s">
        <v>8483</v>
      </c>
      <c r="F1175" s="61" t="s">
        <v>620</v>
      </c>
    </row>
    <row r="1176" customFormat="false" ht="15" hidden="false" customHeight="false" outlineLevel="0" collapsed="false">
      <c r="A1176" s="92" t="str">
        <f aca="false">Gov_Map!$H420&amp;""</f>
        <v>—</v>
      </c>
      <c r="B1176" s="73" t="s">
        <v>8482</v>
      </c>
      <c r="C1176" s="60" t="n">
        <v>420</v>
      </c>
      <c r="D1176" s="60" t="s">
        <v>8483</v>
      </c>
      <c r="E1176" s="60" t="s">
        <v>8483</v>
      </c>
      <c r="F1176" s="61" t="s">
        <v>620</v>
      </c>
    </row>
    <row r="1177" customFormat="false" ht="15" hidden="false" customHeight="false" outlineLevel="0" collapsed="false">
      <c r="A1177" s="92" t="str">
        <f aca="false">Gov_Map!$H421&amp;""</f>
        <v>—</v>
      </c>
      <c r="B1177" s="73" t="s">
        <v>8482</v>
      </c>
      <c r="C1177" s="60" t="n">
        <v>421</v>
      </c>
      <c r="D1177" s="60" t="s">
        <v>8483</v>
      </c>
      <c r="E1177" s="60" t="s">
        <v>8483</v>
      </c>
      <c r="F1177" s="61" t="s">
        <v>620</v>
      </c>
    </row>
    <row r="1178" customFormat="false" ht="15" hidden="false" customHeight="false" outlineLevel="0" collapsed="false">
      <c r="A1178" s="92" t="str">
        <f aca="false">Gov_Map!$H422&amp;""</f>
        <v>—</v>
      </c>
      <c r="B1178" s="73" t="s">
        <v>8482</v>
      </c>
      <c r="C1178" s="60" t="n">
        <v>422</v>
      </c>
      <c r="D1178" s="60" t="s">
        <v>8483</v>
      </c>
      <c r="E1178" s="60" t="s">
        <v>8483</v>
      </c>
      <c r="F1178" s="61" t="s">
        <v>620</v>
      </c>
    </row>
    <row r="1179" customFormat="false" ht="15" hidden="false" customHeight="false" outlineLevel="0" collapsed="false">
      <c r="A1179" s="92" t="str">
        <f aca="false">Gov_Map!$H423&amp;""</f>
        <v>—</v>
      </c>
      <c r="B1179" s="73" t="s">
        <v>8482</v>
      </c>
      <c r="C1179" s="60" t="n">
        <v>423</v>
      </c>
      <c r="D1179" s="60" t="s">
        <v>8483</v>
      </c>
      <c r="E1179" s="60" t="s">
        <v>8483</v>
      </c>
      <c r="F1179" s="61" t="s">
        <v>620</v>
      </c>
    </row>
    <row r="1180" customFormat="false" ht="15" hidden="false" customHeight="false" outlineLevel="0" collapsed="false">
      <c r="A1180" s="92" t="str">
        <f aca="false">Gov_Map!$H424&amp;""</f>
        <v>—</v>
      </c>
      <c r="B1180" s="73" t="s">
        <v>8482</v>
      </c>
      <c r="C1180" s="60" t="n">
        <v>424</v>
      </c>
      <c r="D1180" s="60" t="s">
        <v>8483</v>
      </c>
      <c r="E1180" s="60" t="s">
        <v>8483</v>
      </c>
      <c r="F1180" s="61" t="s">
        <v>620</v>
      </c>
    </row>
    <row r="1181" customFormat="false" ht="15" hidden="false" customHeight="false" outlineLevel="0" collapsed="false">
      <c r="A1181" s="92" t="str">
        <f aca="false">Gov_Map!$H425&amp;""</f>
        <v>—</v>
      </c>
      <c r="B1181" s="73" t="s">
        <v>8482</v>
      </c>
      <c r="C1181" s="60" t="n">
        <v>425</v>
      </c>
      <c r="D1181" s="60" t="s">
        <v>8483</v>
      </c>
      <c r="E1181" s="60" t="s">
        <v>8483</v>
      </c>
      <c r="F1181" s="61" t="s">
        <v>620</v>
      </c>
    </row>
    <row r="1182" customFormat="false" ht="15" hidden="false" customHeight="false" outlineLevel="0" collapsed="false">
      <c r="A1182" s="92" t="str">
        <f aca="false">Gov_Map!$H426&amp;""</f>
        <v>—</v>
      </c>
      <c r="B1182" s="73" t="s">
        <v>8482</v>
      </c>
      <c r="C1182" s="60" t="n">
        <v>426</v>
      </c>
      <c r="D1182" s="60" t="s">
        <v>8483</v>
      </c>
      <c r="E1182" s="60" t="s">
        <v>8483</v>
      </c>
      <c r="F1182" s="61" t="s">
        <v>620</v>
      </c>
    </row>
    <row r="1183" customFormat="false" ht="15" hidden="false" customHeight="false" outlineLevel="0" collapsed="false">
      <c r="A1183" s="92" t="str">
        <f aca="false">Gov_Map!$H427&amp;""</f>
        <v>—</v>
      </c>
      <c r="B1183" s="73" t="s">
        <v>8482</v>
      </c>
      <c r="C1183" s="60" t="n">
        <v>427</v>
      </c>
      <c r="D1183" s="60" t="s">
        <v>8483</v>
      </c>
      <c r="E1183" s="60" t="s">
        <v>8483</v>
      </c>
      <c r="F1183" s="61" t="s">
        <v>620</v>
      </c>
    </row>
    <row r="1184" customFormat="false" ht="15" hidden="false" customHeight="false" outlineLevel="0" collapsed="false">
      <c r="A1184" s="92" t="str">
        <f aca="false">Gov_Map!$H428&amp;""</f>
        <v>—</v>
      </c>
      <c r="B1184" s="73" t="s">
        <v>8482</v>
      </c>
      <c r="C1184" s="60" t="n">
        <v>428</v>
      </c>
      <c r="D1184" s="60" t="s">
        <v>8483</v>
      </c>
      <c r="E1184" s="60" t="s">
        <v>8483</v>
      </c>
      <c r="F1184" s="61" t="s">
        <v>620</v>
      </c>
    </row>
    <row r="1185" customFormat="false" ht="15" hidden="false" customHeight="false" outlineLevel="0" collapsed="false">
      <c r="A1185" s="92" t="str">
        <f aca="false">Gov_Map!$H429&amp;""</f>
        <v>—</v>
      </c>
      <c r="B1185" s="73" t="s">
        <v>8482</v>
      </c>
      <c r="C1185" s="60" t="n">
        <v>429</v>
      </c>
      <c r="D1185" s="60" t="s">
        <v>8483</v>
      </c>
      <c r="E1185" s="60" t="s">
        <v>8483</v>
      </c>
      <c r="F1185" s="61" t="s">
        <v>620</v>
      </c>
    </row>
    <row r="1186" customFormat="false" ht="15" hidden="false" customHeight="false" outlineLevel="0" collapsed="false">
      <c r="A1186" s="92" t="str">
        <f aca="false">Gov_Map!$H430&amp;""</f>
        <v>—</v>
      </c>
      <c r="B1186" s="73" t="s">
        <v>8482</v>
      </c>
      <c r="C1186" s="60" t="n">
        <v>430</v>
      </c>
      <c r="D1186" s="60" t="s">
        <v>8483</v>
      </c>
      <c r="E1186" s="60" t="s">
        <v>8483</v>
      </c>
      <c r="F1186" s="61" t="s">
        <v>620</v>
      </c>
    </row>
    <row r="1187" customFormat="false" ht="15" hidden="false" customHeight="false" outlineLevel="0" collapsed="false">
      <c r="A1187" s="92" t="str">
        <f aca="false">Gov_Map!$H431&amp;""</f>
        <v>SRC_MOD_029</v>
      </c>
      <c r="B1187" s="73" t="s">
        <v>8482</v>
      </c>
      <c r="C1187" s="60" t="n">
        <v>431</v>
      </c>
      <c r="D1187" s="60" t="s">
        <v>8483</v>
      </c>
      <c r="E1187" s="60" t="s">
        <v>8483</v>
      </c>
      <c r="F1187" s="61" t="s">
        <v>620</v>
      </c>
    </row>
    <row r="1188" customFormat="false" ht="15" hidden="false" customHeight="false" outlineLevel="0" collapsed="false">
      <c r="A1188" s="92" t="str">
        <f aca="false">Gov_Map!$H432&amp;""</f>
        <v>SRC_MOD_030</v>
      </c>
      <c r="B1188" s="73" t="s">
        <v>8482</v>
      </c>
      <c r="C1188" s="60" t="n">
        <v>432</v>
      </c>
      <c r="D1188" s="60" t="s">
        <v>8483</v>
      </c>
      <c r="E1188" s="60" t="s">
        <v>8483</v>
      </c>
      <c r="F1188" s="61" t="s">
        <v>620</v>
      </c>
    </row>
    <row r="1189" customFormat="false" ht="15" hidden="false" customHeight="false" outlineLevel="0" collapsed="false">
      <c r="A1189" s="92" t="str">
        <f aca="false">Gov_Map!$H433&amp;""</f>
        <v>SRC_MOD_031</v>
      </c>
      <c r="B1189" s="73" t="s">
        <v>8482</v>
      </c>
      <c r="C1189" s="60" t="n">
        <v>433</v>
      </c>
      <c r="D1189" s="60" t="s">
        <v>8483</v>
      </c>
      <c r="E1189" s="60" t="s">
        <v>8483</v>
      </c>
      <c r="F1189" s="61" t="s">
        <v>620</v>
      </c>
    </row>
    <row r="1190" customFormat="false" ht="15" hidden="false" customHeight="false" outlineLevel="0" collapsed="false">
      <c r="A1190" s="92" t="str">
        <f aca="false">Gov_Map!$H434&amp;""</f>
        <v>SRC_MOD_031</v>
      </c>
      <c r="B1190" s="73" t="s">
        <v>8482</v>
      </c>
      <c r="C1190" s="60" t="n">
        <v>434</v>
      </c>
      <c r="D1190" s="60" t="s">
        <v>8483</v>
      </c>
      <c r="E1190" s="60" t="s">
        <v>8483</v>
      </c>
      <c r="F1190" s="61" t="s">
        <v>620</v>
      </c>
    </row>
    <row r="1191" customFormat="false" ht="15" hidden="false" customHeight="false" outlineLevel="0" collapsed="false">
      <c r="A1191" s="92" t="str">
        <f aca="false">Gov_Map!$H435&amp;""</f>
        <v>SRC_MOD_039</v>
      </c>
      <c r="B1191" s="73" t="s">
        <v>8482</v>
      </c>
      <c r="C1191" s="60" t="n">
        <v>435</v>
      </c>
      <c r="D1191" s="60" t="s">
        <v>8483</v>
      </c>
      <c r="E1191" s="60" t="s">
        <v>8483</v>
      </c>
      <c r="F1191" s="61" t="s">
        <v>620</v>
      </c>
    </row>
    <row r="1192" customFormat="false" ht="15" hidden="false" customHeight="false" outlineLevel="0" collapsed="false">
      <c r="A1192" s="92" t="str">
        <f aca="false">Gov_Map!$H436&amp;""</f>
        <v>SRC_MOD_040</v>
      </c>
      <c r="B1192" s="73" t="s">
        <v>8482</v>
      </c>
      <c r="C1192" s="60" t="n">
        <v>436</v>
      </c>
      <c r="D1192" s="60" t="s">
        <v>8483</v>
      </c>
      <c r="E1192" s="60" t="s">
        <v>8483</v>
      </c>
      <c r="F1192" s="61" t="s">
        <v>620</v>
      </c>
    </row>
    <row r="1193" customFormat="false" ht="15" hidden="false" customHeight="false" outlineLevel="0" collapsed="false">
      <c r="A1193" s="92" t="str">
        <f aca="false">Gov_Map!$H437&amp;""</f>
        <v>SRC_MOD_042</v>
      </c>
      <c r="B1193" s="73" t="s">
        <v>8482</v>
      </c>
      <c r="C1193" s="60" t="n">
        <v>437</v>
      </c>
      <c r="D1193" s="60" t="s">
        <v>8483</v>
      </c>
      <c r="E1193" s="60" t="s">
        <v>8483</v>
      </c>
      <c r="F1193" s="61" t="s">
        <v>620</v>
      </c>
    </row>
    <row r="1194" customFormat="false" ht="15" hidden="false" customHeight="false" outlineLevel="0" collapsed="false">
      <c r="A1194" s="92" t="str">
        <f aca="false">Gov_Map!$H438&amp;""</f>
        <v>SRC_MOD_036</v>
      </c>
      <c r="B1194" s="73" t="s">
        <v>8482</v>
      </c>
      <c r="C1194" s="60" t="n">
        <v>438</v>
      </c>
      <c r="D1194" s="60" t="s">
        <v>8483</v>
      </c>
      <c r="E1194" s="60" t="s">
        <v>8483</v>
      </c>
      <c r="F1194" s="61" t="s">
        <v>620</v>
      </c>
    </row>
    <row r="1195" customFormat="false" ht="15" hidden="false" customHeight="false" outlineLevel="0" collapsed="false">
      <c r="A1195" s="92" t="str">
        <f aca="false">Gov_Map!$H439&amp;""</f>
        <v>SRC_MOD_043</v>
      </c>
      <c r="B1195" s="73" t="s">
        <v>8482</v>
      </c>
      <c r="C1195" s="60" t="n">
        <v>439</v>
      </c>
      <c r="D1195" s="60" t="s">
        <v>8483</v>
      </c>
      <c r="E1195" s="60" t="s">
        <v>8483</v>
      </c>
      <c r="F1195" s="61" t="s">
        <v>620</v>
      </c>
    </row>
    <row r="1196" customFormat="false" ht="15" hidden="false" customHeight="false" outlineLevel="0" collapsed="false">
      <c r="A1196" s="92" t="str">
        <f aca="false">Gov_Map!$H440&amp;""</f>
        <v>—</v>
      </c>
      <c r="B1196" s="73" t="s">
        <v>8482</v>
      </c>
      <c r="C1196" s="60" t="n">
        <v>440</v>
      </c>
      <c r="D1196" s="60" t="s">
        <v>8483</v>
      </c>
      <c r="E1196" s="60" t="s">
        <v>8483</v>
      </c>
      <c r="F1196" s="61" t="s">
        <v>620</v>
      </c>
    </row>
    <row r="1197" customFormat="false" ht="15" hidden="false" customHeight="false" outlineLevel="0" collapsed="false">
      <c r="A1197" s="92" t="str">
        <f aca="false">Gov_Map!$H441&amp;""</f>
        <v>—</v>
      </c>
      <c r="B1197" s="73" t="s">
        <v>8482</v>
      </c>
      <c r="C1197" s="60" t="n">
        <v>441</v>
      </c>
      <c r="D1197" s="60" t="s">
        <v>8483</v>
      </c>
      <c r="E1197" s="60" t="s">
        <v>8483</v>
      </c>
      <c r="F1197" s="61" t="s">
        <v>620</v>
      </c>
    </row>
    <row r="1198" customFormat="false" ht="15" hidden="false" customHeight="false" outlineLevel="0" collapsed="false">
      <c r="A1198" s="92" t="str">
        <f aca="false">Gov_Map!$H442&amp;""</f>
        <v>—</v>
      </c>
      <c r="B1198" s="73" t="s">
        <v>8482</v>
      </c>
      <c r="C1198" s="60" t="n">
        <v>442</v>
      </c>
      <c r="D1198" s="60" t="s">
        <v>8483</v>
      </c>
      <c r="E1198" s="60" t="s">
        <v>8483</v>
      </c>
      <c r="F1198" s="61" t="s">
        <v>620</v>
      </c>
    </row>
    <row r="1199" customFormat="false" ht="15" hidden="false" customHeight="false" outlineLevel="0" collapsed="false">
      <c r="A1199" s="92" t="str">
        <f aca="false">Gov_Map!$H443&amp;""</f>
        <v>—</v>
      </c>
      <c r="B1199" s="73" t="s">
        <v>8482</v>
      </c>
      <c r="C1199" s="60" t="n">
        <v>443</v>
      </c>
      <c r="D1199" s="60" t="s">
        <v>8483</v>
      </c>
      <c r="E1199" s="60" t="s">
        <v>8483</v>
      </c>
      <c r="F1199" s="61" t="s">
        <v>620</v>
      </c>
    </row>
    <row r="1200" customFormat="false" ht="15" hidden="false" customHeight="false" outlineLevel="0" collapsed="false">
      <c r="A1200" s="92" t="str">
        <f aca="false">Gov_Map!$H444&amp;""</f>
        <v>—</v>
      </c>
      <c r="B1200" s="73" t="s">
        <v>8482</v>
      </c>
      <c r="C1200" s="60" t="n">
        <v>444</v>
      </c>
      <c r="D1200" s="60" t="s">
        <v>8483</v>
      </c>
      <c r="E1200" s="60" t="s">
        <v>8483</v>
      </c>
      <c r="F1200" s="61" t="s">
        <v>620</v>
      </c>
    </row>
    <row r="1201" customFormat="false" ht="15" hidden="false" customHeight="false" outlineLevel="0" collapsed="false">
      <c r="A1201" s="92" t="str">
        <f aca="false">Gov_Map!$H445&amp;""</f>
        <v>—</v>
      </c>
      <c r="B1201" s="73" t="s">
        <v>8482</v>
      </c>
      <c r="C1201" s="60" t="n">
        <v>445</v>
      </c>
      <c r="D1201" s="60" t="s">
        <v>8483</v>
      </c>
      <c r="E1201" s="60" t="s">
        <v>8483</v>
      </c>
      <c r="F1201" s="61" t="s">
        <v>620</v>
      </c>
    </row>
    <row r="1202" customFormat="false" ht="15" hidden="false" customHeight="false" outlineLevel="0" collapsed="false">
      <c r="A1202" s="92" t="str">
        <f aca="false">Gov_Map!$H446&amp;""</f>
        <v>—</v>
      </c>
      <c r="B1202" s="73" t="s">
        <v>8482</v>
      </c>
      <c r="C1202" s="60" t="n">
        <v>446</v>
      </c>
      <c r="D1202" s="60" t="s">
        <v>8483</v>
      </c>
      <c r="E1202" s="60" t="s">
        <v>8483</v>
      </c>
      <c r="F1202" s="61" t="s">
        <v>620</v>
      </c>
    </row>
    <row r="1203" customFormat="false" ht="15" hidden="false" customHeight="false" outlineLevel="0" collapsed="false">
      <c r="A1203" s="92" t="str">
        <f aca="false">Gov_Map!$H447&amp;""</f>
        <v>—</v>
      </c>
      <c r="B1203" s="73" t="s">
        <v>8482</v>
      </c>
      <c r="C1203" s="60" t="n">
        <v>447</v>
      </c>
      <c r="D1203" s="60" t="s">
        <v>8483</v>
      </c>
      <c r="E1203" s="60" t="s">
        <v>8483</v>
      </c>
      <c r="F1203" s="61" t="s">
        <v>620</v>
      </c>
    </row>
    <row r="1204" customFormat="false" ht="15" hidden="false" customHeight="false" outlineLevel="0" collapsed="false">
      <c r="A1204" s="92" t="str">
        <f aca="false">Gov_Map!$H448&amp;""</f>
        <v>—</v>
      </c>
      <c r="B1204" s="73" t="s">
        <v>8482</v>
      </c>
      <c r="C1204" s="60" t="n">
        <v>448</v>
      </c>
      <c r="D1204" s="60" t="s">
        <v>8483</v>
      </c>
      <c r="E1204" s="60" t="s">
        <v>8483</v>
      </c>
      <c r="F1204" s="61" t="s">
        <v>620</v>
      </c>
    </row>
    <row r="1205" customFormat="false" ht="15" hidden="false" customHeight="false" outlineLevel="0" collapsed="false">
      <c r="A1205" s="92" t="str">
        <f aca="false">Gov_Map!$H449&amp;""</f>
        <v>—</v>
      </c>
      <c r="B1205" s="73" t="s">
        <v>8482</v>
      </c>
      <c r="C1205" s="60" t="n">
        <v>449</v>
      </c>
      <c r="D1205" s="60" t="s">
        <v>8483</v>
      </c>
      <c r="E1205" s="60" t="s">
        <v>8483</v>
      </c>
      <c r="F1205" s="61" t="s">
        <v>620</v>
      </c>
    </row>
    <row r="1206" customFormat="false" ht="15" hidden="false" customHeight="false" outlineLevel="0" collapsed="false">
      <c r="A1206" s="92" t="str">
        <f aca="false">Gov_Map!$H450&amp;""</f>
        <v>—</v>
      </c>
      <c r="B1206" s="73" t="s">
        <v>8482</v>
      </c>
      <c r="C1206" s="60" t="n">
        <v>450</v>
      </c>
      <c r="D1206" s="60" t="s">
        <v>8483</v>
      </c>
      <c r="E1206" s="60" t="s">
        <v>8483</v>
      </c>
      <c r="F1206" s="61" t="s">
        <v>620</v>
      </c>
    </row>
    <row r="1207" customFormat="false" ht="15" hidden="false" customHeight="false" outlineLevel="0" collapsed="false">
      <c r="A1207" s="92" t="str">
        <f aca="false">Gov_Map!$H451&amp;""</f>
        <v>—</v>
      </c>
      <c r="B1207" s="73" t="s">
        <v>8482</v>
      </c>
      <c r="C1207" s="60" t="n">
        <v>451</v>
      </c>
      <c r="D1207" s="60" t="s">
        <v>8483</v>
      </c>
      <c r="E1207" s="60" t="s">
        <v>8483</v>
      </c>
      <c r="F1207" s="61" t="s">
        <v>620</v>
      </c>
    </row>
    <row r="1208" customFormat="false" ht="15" hidden="false" customHeight="false" outlineLevel="0" collapsed="false">
      <c r="A1208" s="92" t="str">
        <f aca="false">Gov_Map!$H452&amp;""</f>
        <v>—</v>
      </c>
      <c r="B1208" s="73" t="s">
        <v>8482</v>
      </c>
      <c r="C1208" s="60" t="n">
        <v>452</v>
      </c>
      <c r="D1208" s="60" t="s">
        <v>8483</v>
      </c>
      <c r="E1208" s="60" t="s">
        <v>8483</v>
      </c>
      <c r="F1208" s="61" t="s">
        <v>620</v>
      </c>
    </row>
    <row r="1209" customFormat="false" ht="15" hidden="false" customHeight="false" outlineLevel="0" collapsed="false">
      <c r="A1209" s="92" t="str">
        <f aca="false">Gov_Map!$H453&amp;""</f>
        <v>—</v>
      </c>
      <c r="B1209" s="73" t="s">
        <v>8482</v>
      </c>
      <c r="C1209" s="60" t="n">
        <v>453</v>
      </c>
      <c r="D1209" s="60" t="s">
        <v>8483</v>
      </c>
      <c r="E1209" s="60" t="s">
        <v>8483</v>
      </c>
      <c r="F1209" s="61" t="s">
        <v>620</v>
      </c>
    </row>
    <row r="1210" customFormat="false" ht="15" hidden="false" customHeight="false" outlineLevel="0" collapsed="false">
      <c r="A1210" s="92" t="str">
        <f aca="false">Gov_Map!$H454&amp;""</f>
        <v>—</v>
      </c>
      <c r="B1210" s="73" t="s">
        <v>8482</v>
      </c>
      <c r="C1210" s="60" t="n">
        <v>454</v>
      </c>
      <c r="D1210" s="60" t="s">
        <v>8483</v>
      </c>
      <c r="E1210" s="60" t="s">
        <v>8483</v>
      </c>
      <c r="F1210" s="61" t="s">
        <v>620</v>
      </c>
    </row>
    <row r="1211" customFormat="false" ht="15" hidden="false" customHeight="false" outlineLevel="0" collapsed="false">
      <c r="A1211" s="92" t="str">
        <f aca="false">Gov_Map!$H455&amp;""</f>
        <v>—</v>
      </c>
      <c r="B1211" s="73" t="s">
        <v>8482</v>
      </c>
      <c r="C1211" s="60" t="n">
        <v>455</v>
      </c>
      <c r="D1211" s="60" t="s">
        <v>8483</v>
      </c>
      <c r="E1211" s="60" t="s">
        <v>8483</v>
      </c>
      <c r="F1211" s="61" t="s">
        <v>620</v>
      </c>
    </row>
    <row r="1212" customFormat="false" ht="15" hidden="false" customHeight="false" outlineLevel="0" collapsed="false">
      <c r="A1212" s="92" t="str">
        <f aca="false">Gov_Map!$H456&amp;""</f>
        <v>—</v>
      </c>
      <c r="B1212" s="73" t="s">
        <v>8482</v>
      </c>
      <c r="C1212" s="60" t="n">
        <v>456</v>
      </c>
      <c r="D1212" s="60" t="s">
        <v>8483</v>
      </c>
      <c r="E1212" s="60" t="s">
        <v>8483</v>
      </c>
      <c r="F1212" s="61" t="s">
        <v>620</v>
      </c>
    </row>
    <row r="1213" customFormat="false" ht="15" hidden="false" customHeight="false" outlineLevel="0" collapsed="false">
      <c r="A1213" s="92" t="str">
        <f aca="false">Gov_Map!$H457&amp;""</f>
        <v>SRC_DEM_004</v>
      </c>
      <c r="B1213" s="73" t="s">
        <v>8482</v>
      </c>
      <c r="C1213" s="60" t="n">
        <v>457</v>
      </c>
      <c r="D1213" s="60" t="s">
        <v>8483</v>
      </c>
      <c r="E1213" s="60" t="s">
        <v>8483</v>
      </c>
      <c r="F1213" s="61" t="s">
        <v>620</v>
      </c>
    </row>
    <row r="1214" customFormat="false" ht="15" hidden="false" customHeight="false" outlineLevel="0" collapsed="false">
      <c r="A1214" s="92" t="str">
        <f aca="false">Gov_Map!$H458&amp;""</f>
        <v>—</v>
      </c>
      <c r="B1214" s="73" t="s">
        <v>8482</v>
      </c>
      <c r="C1214" s="60" t="n">
        <v>458</v>
      </c>
      <c r="D1214" s="60" t="s">
        <v>8483</v>
      </c>
      <c r="E1214" s="60" t="s">
        <v>8483</v>
      </c>
      <c r="F1214" s="61" t="s">
        <v>620</v>
      </c>
    </row>
    <row r="1215" customFormat="false" ht="15" hidden="false" customHeight="false" outlineLevel="0" collapsed="false">
      <c r="A1215" s="92" t="str">
        <f aca="false">Gov_Map!$H459&amp;""</f>
        <v>SRC_DEM_005</v>
      </c>
      <c r="B1215" s="73" t="s">
        <v>8482</v>
      </c>
      <c r="C1215" s="60" t="n">
        <v>459</v>
      </c>
      <c r="D1215" s="60" t="s">
        <v>8483</v>
      </c>
      <c r="E1215" s="60" t="s">
        <v>8483</v>
      </c>
      <c r="F1215" s="61" t="s">
        <v>620</v>
      </c>
    </row>
    <row r="1216" customFormat="false" ht="15" hidden="false" customHeight="false" outlineLevel="0" collapsed="false">
      <c r="A1216" s="92" t="str">
        <f aca="false">Gov_Map!$H460&amp;""</f>
        <v>—</v>
      </c>
      <c r="B1216" s="73" t="s">
        <v>8482</v>
      </c>
      <c r="C1216" s="60" t="n">
        <v>460</v>
      </c>
      <c r="D1216" s="60" t="s">
        <v>8483</v>
      </c>
      <c r="E1216" s="60" t="s">
        <v>8483</v>
      </c>
      <c r="F1216" s="61" t="s">
        <v>620</v>
      </c>
    </row>
    <row r="1217" customFormat="false" ht="15" hidden="false" customHeight="false" outlineLevel="0" collapsed="false">
      <c r="A1217" s="92" t="str">
        <f aca="false">Gov_Map!$H461&amp;""</f>
        <v>—</v>
      </c>
      <c r="B1217" s="73" t="s">
        <v>8482</v>
      </c>
      <c r="C1217" s="60" t="n">
        <v>461</v>
      </c>
      <c r="D1217" s="60" t="s">
        <v>8483</v>
      </c>
      <c r="E1217" s="60" t="s">
        <v>8483</v>
      </c>
      <c r="F1217" s="61" t="s">
        <v>620</v>
      </c>
    </row>
    <row r="1218" customFormat="false" ht="15" hidden="false" customHeight="false" outlineLevel="0" collapsed="false">
      <c r="A1218" s="92" t="str">
        <f aca="false">Gov_Map!$H462&amp;""</f>
        <v>—</v>
      </c>
      <c r="B1218" s="73" t="s">
        <v>8482</v>
      </c>
      <c r="C1218" s="60" t="n">
        <v>462</v>
      </c>
      <c r="D1218" s="60" t="s">
        <v>8483</v>
      </c>
      <c r="E1218" s="60" t="s">
        <v>8483</v>
      </c>
      <c r="F1218" s="61" t="s">
        <v>620</v>
      </c>
    </row>
    <row r="1219" customFormat="false" ht="15" hidden="false" customHeight="false" outlineLevel="0" collapsed="false">
      <c r="A1219" s="92" t="str">
        <f aca="false">Gov_Map!$H463&amp;""</f>
        <v>—</v>
      </c>
      <c r="B1219" s="73" t="s">
        <v>8482</v>
      </c>
      <c r="C1219" s="60" t="n">
        <v>463</v>
      </c>
      <c r="D1219" s="60" t="s">
        <v>8483</v>
      </c>
      <c r="E1219" s="60" t="s">
        <v>8483</v>
      </c>
      <c r="F1219" s="61" t="s">
        <v>620</v>
      </c>
    </row>
    <row r="1220" customFormat="false" ht="15" hidden="false" customHeight="false" outlineLevel="0" collapsed="false">
      <c r="A1220" s="92" t="str">
        <f aca="false">Gov_Map!$H464&amp;""</f>
        <v>—</v>
      </c>
      <c r="B1220" s="73" t="s">
        <v>8482</v>
      </c>
      <c r="C1220" s="60" t="n">
        <v>464</v>
      </c>
      <c r="D1220" s="60" t="s">
        <v>8483</v>
      </c>
      <c r="E1220" s="60" t="s">
        <v>8483</v>
      </c>
      <c r="F1220" s="61" t="s">
        <v>620</v>
      </c>
    </row>
    <row r="1221" customFormat="false" ht="15" hidden="false" customHeight="false" outlineLevel="0" collapsed="false">
      <c r="A1221" s="92" t="str">
        <f aca="false">Gov_Map!$H465&amp;""</f>
        <v>—</v>
      </c>
      <c r="B1221" s="73" t="s">
        <v>8482</v>
      </c>
      <c r="C1221" s="60" t="n">
        <v>465</v>
      </c>
      <c r="D1221" s="60" t="s">
        <v>8483</v>
      </c>
      <c r="E1221" s="60" t="s">
        <v>8483</v>
      </c>
      <c r="F1221" s="61" t="s">
        <v>620</v>
      </c>
    </row>
    <row r="1222" customFormat="false" ht="15" hidden="false" customHeight="false" outlineLevel="0" collapsed="false">
      <c r="A1222" s="92" t="str">
        <f aca="false">Gov_Map!$H466&amp;""</f>
        <v>—</v>
      </c>
      <c r="B1222" s="73" t="s">
        <v>8482</v>
      </c>
      <c r="C1222" s="60" t="n">
        <v>466</v>
      </c>
      <c r="D1222" s="60" t="s">
        <v>8483</v>
      </c>
      <c r="E1222" s="60" t="s">
        <v>8483</v>
      </c>
      <c r="F1222" s="61" t="s">
        <v>620</v>
      </c>
    </row>
    <row r="1223" customFormat="false" ht="15" hidden="false" customHeight="false" outlineLevel="0" collapsed="false">
      <c r="A1223" s="92" t="str">
        <f aca="false">Gov_Map!$H467&amp;""</f>
        <v>—</v>
      </c>
      <c r="B1223" s="73" t="s">
        <v>8482</v>
      </c>
      <c r="C1223" s="60" t="n">
        <v>467</v>
      </c>
      <c r="D1223" s="60" t="s">
        <v>8483</v>
      </c>
      <c r="E1223" s="60" t="s">
        <v>8483</v>
      </c>
      <c r="F1223" s="61" t="s">
        <v>620</v>
      </c>
    </row>
    <row r="1224" customFormat="false" ht="15" hidden="false" customHeight="false" outlineLevel="0" collapsed="false">
      <c r="A1224" s="92" t="str">
        <f aca="false">Gov_Map!$H468&amp;""</f>
        <v>—</v>
      </c>
      <c r="B1224" s="73" t="s">
        <v>8482</v>
      </c>
      <c r="C1224" s="60" t="n">
        <v>468</v>
      </c>
      <c r="D1224" s="60" t="s">
        <v>8483</v>
      </c>
      <c r="E1224" s="60" t="s">
        <v>8483</v>
      </c>
      <c r="F1224" s="61" t="s">
        <v>620</v>
      </c>
    </row>
    <row r="1225" customFormat="false" ht="15" hidden="false" customHeight="false" outlineLevel="0" collapsed="false">
      <c r="A1225" s="92" t="str">
        <f aca="false">Gov_Map!$H469&amp;""</f>
        <v>—</v>
      </c>
      <c r="B1225" s="73" t="s">
        <v>8482</v>
      </c>
      <c r="C1225" s="60" t="n">
        <v>469</v>
      </c>
      <c r="D1225" s="60" t="s">
        <v>8483</v>
      </c>
      <c r="E1225" s="60" t="s">
        <v>8483</v>
      </c>
      <c r="F1225" s="61" t="s">
        <v>620</v>
      </c>
    </row>
    <row r="1226" customFormat="false" ht="15" hidden="false" customHeight="false" outlineLevel="0" collapsed="false">
      <c r="A1226" s="92" t="str">
        <f aca="false">Gov_Map!$H470&amp;""</f>
        <v>—</v>
      </c>
      <c r="B1226" s="73" t="s">
        <v>8482</v>
      </c>
      <c r="C1226" s="60" t="n">
        <v>470</v>
      </c>
      <c r="D1226" s="60" t="s">
        <v>8483</v>
      </c>
      <c r="E1226" s="60" t="s">
        <v>8483</v>
      </c>
      <c r="F1226" s="61" t="s">
        <v>620</v>
      </c>
    </row>
    <row r="1227" customFormat="false" ht="15" hidden="false" customHeight="false" outlineLevel="0" collapsed="false">
      <c r="A1227" s="92" t="str">
        <f aca="false">Gov_Map!$H471&amp;""</f>
        <v>—</v>
      </c>
      <c r="B1227" s="73" t="s">
        <v>8482</v>
      </c>
      <c r="C1227" s="60" t="n">
        <v>471</v>
      </c>
      <c r="D1227" s="60" t="s">
        <v>8483</v>
      </c>
      <c r="E1227" s="60" t="s">
        <v>8483</v>
      </c>
      <c r="F1227" s="61" t="s">
        <v>620</v>
      </c>
    </row>
    <row r="1228" customFormat="false" ht="15" hidden="false" customHeight="false" outlineLevel="0" collapsed="false">
      <c r="A1228" s="92" t="str">
        <f aca="false">Gov_Map!$H472&amp;""</f>
        <v>—</v>
      </c>
      <c r="B1228" s="73" t="s">
        <v>8482</v>
      </c>
      <c r="C1228" s="60" t="n">
        <v>472</v>
      </c>
      <c r="D1228" s="60" t="s">
        <v>8483</v>
      </c>
      <c r="E1228" s="60" t="s">
        <v>8483</v>
      </c>
      <c r="F1228" s="61" t="s">
        <v>620</v>
      </c>
    </row>
    <row r="1229" customFormat="false" ht="15" hidden="false" customHeight="false" outlineLevel="0" collapsed="false">
      <c r="A1229" s="92" t="str">
        <f aca="false">Gov_Map!$H473&amp;""</f>
        <v>—</v>
      </c>
      <c r="B1229" s="73" t="s">
        <v>8482</v>
      </c>
      <c r="C1229" s="60" t="n">
        <v>473</v>
      </c>
      <c r="D1229" s="60" t="s">
        <v>8483</v>
      </c>
      <c r="E1229" s="60" t="s">
        <v>8483</v>
      </c>
      <c r="F1229" s="61" t="s">
        <v>620</v>
      </c>
    </row>
    <row r="1230" customFormat="false" ht="15" hidden="false" customHeight="false" outlineLevel="0" collapsed="false">
      <c r="A1230" s="92" t="str">
        <f aca="false">Gov_Map!$H474&amp;""</f>
        <v>—</v>
      </c>
      <c r="B1230" s="73" t="s">
        <v>8482</v>
      </c>
      <c r="C1230" s="60" t="n">
        <v>474</v>
      </c>
      <c r="D1230" s="60" t="s">
        <v>8483</v>
      </c>
      <c r="E1230" s="60" t="s">
        <v>8483</v>
      </c>
      <c r="F1230" s="61" t="s">
        <v>620</v>
      </c>
    </row>
    <row r="1231" customFormat="false" ht="15" hidden="false" customHeight="false" outlineLevel="0" collapsed="false">
      <c r="A1231" s="92" t="str">
        <f aca="false">Gov_Map!$H475&amp;""</f>
        <v>—</v>
      </c>
      <c r="B1231" s="73" t="s">
        <v>8482</v>
      </c>
      <c r="C1231" s="60" t="n">
        <v>475</v>
      </c>
      <c r="D1231" s="60" t="s">
        <v>8483</v>
      </c>
      <c r="E1231" s="60" t="s">
        <v>8483</v>
      </c>
      <c r="F1231" s="61" t="s">
        <v>620</v>
      </c>
    </row>
    <row r="1232" customFormat="false" ht="15" hidden="false" customHeight="false" outlineLevel="0" collapsed="false">
      <c r="A1232" s="92" t="str">
        <f aca="false">Gov_Map!$H476&amp;""</f>
        <v>—</v>
      </c>
      <c r="B1232" s="73" t="s">
        <v>8482</v>
      </c>
      <c r="C1232" s="60" t="n">
        <v>476</v>
      </c>
      <c r="D1232" s="60" t="s">
        <v>8483</v>
      </c>
      <c r="E1232" s="60" t="s">
        <v>8483</v>
      </c>
      <c r="F1232" s="61" t="s">
        <v>620</v>
      </c>
    </row>
    <row r="1233" customFormat="false" ht="15" hidden="false" customHeight="false" outlineLevel="0" collapsed="false">
      <c r="A1233" s="92" t="str">
        <f aca="false">Gov_Map!$H477&amp;""</f>
        <v>SRC_PRC_027</v>
      </c>
      <c r="B1233" s="73" t="s">
        <v>8482</v>
      </c>
      <c r="C1233" s="60" t="n">
        <v>477</v>
      </c>
      <c r="D1233" s="60" t="s">
        <v>8483</v>
      </c>
      <c r="E1233" s="60" t="s">
        <v>8483</v>
      </c>
      <c r="F1233" s="61" t="s">
        <v>620</v>
      </c>
    </row>
    <row r="1234" customFormat="false" ht="15" hidden="false" customHeight="false" outlineLevel="0" collapsed="false">
      <c r="A1234" s="92" t="str">
        <f aca="false">Gov_Map!$H478&amp;""</f>
        <v>—</v>
      </c>
      <c r="B1234" s="73" t="s">
        <v>8482</v>
      </c>
      <c r="C1234" s="60" t="n">
        <v>478</v>
      </c>
      <c r="D1234" s="60" t="s">
        <v>8483</v>
      </c>
      <c r="E1234" s="60" t="s">
        <v>8483</v>
      </c>
      <c r="F1234" s="61" t="s">
        <v>620</v>
      </c>
    </row>
    <row r="1235" customFormat="false" ht="15" hidden="false" customHeight="false" outlineLevel="0" collapsed="false">
      <c r="A1235" s="92" t="str">
        <f aca="false">Gov_Map!$H479&amp;""</f>
        <v>—</v>
      </c>
      <c r="B1235" s="73" t="s">
        <v>8482</v>
      </c>
      <c r="C1235" s="60" t="n">
        <v>479</v>
      </c>
      <c r="D1235" s="60" t="s">
        <v>8483</v>
      </c>
      <c r="E1235" s="60" t="s">
        <v>8483</v>
      </c>
      <c r="F1235" s="61" t="s">
        <v>620</v>
      </c>
    </row>
    <row r="1236" customFormat="false" ht="15" hidden="false" customHeight="false" outlineLevel="0" collapsed="false">
      <c r="A1236" s="92" t="str">
        <f aca="false">Gov_Map!$H480&amp;""</f>
        <v>—</v>
      </c>
      <c r="B1236" s="73" t="s">
        <v>8482</v>
      </c>
      <c r="C1236" s="60" t="n">
        <v>480</v>
      </c>
      <c r="D1236" s="60" t="s">
        <v>8483</v>
      </c>
      <c r="E1236" s="60" t="s">
        <v>8483</v>
      </c>
      <c r="F1236" s="61" t="s">
        <v>620</v>
      </c>
    </row>
    <row r="1237" customFormat="false" ht="15" hidden="false" customHeight="false" outlineLevel="0" collapsed="false">
      <c r="A1237" s="92" t="str">
        <f aca="false">Gov_Map!$H481&amp;""</f>
        <v>SRC_CAP_007</v>
      </c>
      <c r="B1237" s="73" t="s">
        <v>8482</v>
      </c>
      <c r="C1237" s="60" t="n">
        <v>481</v>
      </c>
      <c r="D1237" s="60" t="s">
        <v>8483</v>
      </c>
      <c r="E1237" s="60" t="s">
        <v>8483</v>
      </c>
      <c r="F1237" s="61" t="s">
        <v>620</v>
      </c>
    </row>
    <row r="1238" customFormat="false" ht="15" hidden="false" customHeight="false" outlineLevel="0" collapsed="false">
      <c r="A1238" s="92" t="str">
        <f aca="false">Gov_Map!$H482&amp;""</f>
        <v>SRC_CAP_006</v>
      </c>
      <c r="B1238" s="73" t="s">
        <v>8482</v>
      </c>
      <c r="C1238" s="60" t="n">
        <v>482</v>
      </c>
      <c r="D1238" s="60" t="s">
        <v>8483</v>
      </c>
      <c r="E1238" s="60" t="s">
        <v>8483</v>
      </c>
      <c r="F1238" s="61" t="s">
        <v>620</v>
      </c>
    </row>
    <row r="1239" customFormat="false" ht="15" hidden="false" customHeight="false" outlineLevel="0" collapsed="false">
      <c r="A1239" s="92" t="str">
        <f aca="false">Gov_Map!$H483&amp;""</f>
        <v>—</v>
      </c>
      <c r="B1239" s="73" t="s">
        <v>8482</v>
      </c>
      <c r="C1239" s="60" t="n">
        <v>483</v>
      </c>
      <c r="D1239" s="60" t="s">
        <v>8483</v>
      </c>
      <c r="E1239" s="60" t="s">
        <v>8483</v>
      </c>
      <c r="F1239" s="61" t="s">
        <v>620</v>
      </c>
    </row>
    <row r="1240" customFormat="false" ht="15" hidden="false" customHeight="false" outlineLevel="0" collapsed="false">
      <c r="A1240" s="92" t="str">
        <f aca="false">Gov_Map!$H484&amp;""</f>
        <v>—</v>
      </c>
      <c r="B1240" s="73" t="s">
        <v>8482</v>
      </c>
      <c r="C1240" s="60" t="n">
        <v>484</v>
      </c>
      <c r="D1240" s="60" t="s">
        <v>8483</v>
      </c>
      <c r="E1240" s="60" t="s">
        <v>8483</v>
      </c>
      <c r="F1240" s="61" t="s">
        <v>620</v>
      </c>
    </row>
    <row r="1241" customFormat="false" ht="15" hidden="false" customHeight="false" outlineLevel="0" collapsed="false">
      <c r="A1241" s="92" t="str">
        <f aca="false">Gov_Map!$H485&amp;""</f>
        <v>—</v>
      </c>
      <c r="B1241" s="73" t="s">
        <v>8482</v>
      </c>
      <c r="C1241" s="60" t="n">
        <v>485</v>
      </c>
      <c r="D1241" s="60" t="s">
        <v>8483</v>
      </c>
      <c r="E1241" s="60" t="s">
        <v>8483</v>
      </c>
      <c r="F1241" s="61" t="s">
        <v>620</v>
      </c>
    </row>
    <row r="1242" customFormat="false" ht="15" hidden="false" customHeight="false" outlineLevel="0" collapsed="false">
      <c r="A1242" s="92" t="str">
        <f aca="false">Gov_Map!$H486&amp;""</f>
        <v>—</v>
      </c>
      <c r="B1242" s="73" t="s">
        <v>8482</v>
      </c>
      <c r="C1242" s="60" t="n">
        <v>486</v>
      </c>
      <c r="D1242" s="60" t="s">
        <v>8483</v>
      </c>
      <c r="E1242" s="60" t="s">
        <v>8483</v>
      </c>
      <c r="F1242" s="61" t="s">
        <v>620</v>
      </c>
    </row>
    <row r="1243" customFormat="false" ht="15" hidden="false" customHeight="false" outlineLevel="0" collapsed="false">
      <c r="A1243" s="92" t="str">
        <f aca="false">Gov_Map!$H487&amp;""</f>
        <v>—</v>
      </c>
      <c r="B1243" s="73" t="s">
        <v>8482</v>
      </c>
      <c r="C1243" s="60" t="n">
        <v>487</v>
      </c>
      <c r="D1243" s="60" t="s">
        <v>8483</v>
      </c>
      <c r="E1243" s="60" t="s">
        <v>8483</v>
      </c>
      <c r="F1243" s="61" t="s">
        <v>620</v>
      </c>
    </row>
    <row r="1244" customFormat="false" ht="15" hidden="false" customHeight="false" outlineLevel="0" collapsed="false">
      <c r="A1244" s="92" t="str">
        <f aca="false">Gov_Map!$H488&amp;""</f>
        <v>—</v>
      </c>
      <c r="B1244" s="73" t="s">
        <v>8482</v>
      </c>
      <c r="C1244" s="60" t="n">
        <v>488</v>
      </c>
      <c r="D1244" s="60" t="s">
        <v>8483</v>
      </c>
      <c r="E1244" s="60" t="s">
        <v>8483</v>
      </c>
      <c r="F1244" s="61" t="s">
        <v>620</v>
      </c>
    </row>
    <row r="1245" customFormat="false" ht="15" hidden="false" customHeight="false" outlineLevel="0" collapsed="false">
      <c r="A1245" s="92" t="str">
        <f aca="false">Gov_Map!$H489&amp;""</f>
        <v>—</v>
      </c>
      <c r="B1245" s="73" t="s">
        <v>8482</v>
      </c>
      <c r="C1245" s="60" t="n">
        <v>489</v>
      </c>
      <c r="D1245" s="60" t="s">
        <v>8483</v>
      </c>
      <c r="E1245" s="60" t="s">
        <v>8483</v>
      </c>
      <c r="F1245" s="61" t="s">
        <v>620</v>
      </c>
    </row>
    <row r="1246" customFormat="false" ht="15" hidden="false" customHeight="false" outlineLevel="0" collapsed="false">
      <c r="A1246" s="92" t="str">
        <f aca="false">Gov_Map!$H490&amp;""</f>
        <v>—</v>
      </c>
      <c r="B1246" s="73" t="s">
        <v>8482</v>
      </c>
      <c r="C1246" s="60" t="n">
        <v>490</v>
      </c>
      <c r="D1246" s="60" t="s">
        <v>8483</v>
      </c>
      <c r="E1246" s="60" t="s">
        <v>8483</v>
      </c>
      <c r="F1246" s="61" t="s">
        <v>620</v>
      </c>
    </row>
    <row r="1247" customFormat="false" ht="15" hidden="false" customHeight="false" outlineLevel="0" collapsed="false">
      <c r="A1247" s="92" t="str">
        <f aca="false">Gov_Map!$H491&amp;""</f>
        <v>—</v>
      </c>
      <c r="B1247" s="73" t="s">
        <v>8482</v>
      </c>
      <c r="C1247" s="60" t="n">
        <v>491</v>
      </c>
      <c r="D1247" s="60" t="s">
        <v>8483</v>
      </c>
      <c r="E1247" s="60" t="s">
        <v>8483</v>
      </c>
      <c r="F1247" s="61" t="s">
        <v>620</v>
      </c>
    </row>
    <row r="1248" customFormat="false" ht="15" hidden="false" customHeight="false" outlineLevel="0" collapsed="false">
      <c r="A1248" s="92" t="str">
        <f aca="false">Gov_Map!$H492&amp;""</f>
        <v>SRC_HAR_003</v>
      </c>
      <c r="B1248" s="73" t="s">
        <v>8482</v>
      </c>
      <c r="C1248" s="60" t="n">
        <v>492</v>
      </c>
      <c r="D1248" s="60" t="s">
        <v>8483</v>
      </c>
      <c r="E1248" s="60" t="s">
        <v>8483</v>
      </c>
      <c r="F1248" s="61" t="s">
        <v>620</v>
      </c>
    </row>
    <row r="1249" customFormat="false" ht="15" hidden="false" customHeight="false" outlineLevel="0" collapsed="false">
      <c r="A1249" s="92" t="str">
        <f aca="false">Gov_Map!$H493&amp;""</f>
        <v>—</v>
      </c>
      <c r="B1249" s="73" t="s">
        <v>8482</v>
      </c>
      <c r="C1249" s="60" t="n">
        <v>493</v>
      </c>
      <c r="D1249" s="60" t="s">
        <v>8483</v>
      </c>
      <c r="E1249" s="60" t="s">
        <v>8483</v>
      </c>
      <c r="F1249" s="61" t="s">
        <v>620</v>
      </c>
    </row>
    <row r="1250" customFormat="false" ht="15" hidden="false" customHeight="false" outlineLevel="0" collapsed="false">
      <c r="A1250" s="92" t="str">
        <f aca="false">Gov_Map!$H494&amp;""</f>
        <v>—</v>
      </c>
      <c r="B1250" s="73" t="s">
        <v>8482</v>
      </c>
      <c r="C1250" s="60" t="n">
        <v>494</v>
      </c>
      <c r="D1250" s="60" t="s">
        <v>8483</v>
      </c>
      <c r="E1250" s="60" t="s">
        <v>8483</v>
      </c>
      <c r="F1250" s="61" t="s">
        <v>620</v>
      </c>
    </row>
    <row r="1251" customFormat="false" ht="15" hidden="false" customHeight="false" outlineLevel="0" collapsed="false">
      <c r="A1251" s="92" t="str">
        <f aca="false">Gov_Map!$H495&amp;""</f>
        <v>—</v>
      </c>
      <c r="B1251" s="73" t="s">
        <v>8482</v>
      </c>
      <c r="C1251" s="60" t="n">
        <v>495</v>
      </c>
      <c r="D1251" s="60" t="s">
        <v>8483</v>
      </c>
      <c r="E1251" s="60" t="s">
        <v>8483</v>
      </c>
      <c r="F1251" s="61" t="s">
        <v>620</v>
      </c>
    </row>
    <row r="1252" customFormat="false" ht="15" hidden="false" customHeight="false" outlineLevel="0" collapsed="false">
      <c r="A1252" s="92" t="str">
        <f aca="false">Gov_Map!$H496&amp;""</f>
        <v>—</v>
      </c>
      <c r="B1252" s="73" t="s">
        <v>8482</v>
      </c>
      <c r="C1252" s="60" t="n">
        <v>496</v>
      </c>
      <c r="D1252" s="60" t="s">
        <v>8483</v>
      </c>
      <c r="E1252" s="60" t="s">
        <v>8483</v>
      </c>
      <c r="F1252" s="61" t="s">
        <v>620</v>
      </c>
    </row>
    <row r="1253" customFormat="false" ht="15" hidden="false" customHeight="false" outlineLevel="0" collapsed="false">
      <c r="A1253" s="92" t="str">
        <f aca="false">Gov_Map!$H497&amp;""</f>
        <v>—</v>
      </c>
      <c r="B1253" s="73" t="s">
        <v>8482</v>
      </c>
      <c r="C1253" s="60" t="n">
        <v>497</v>
      </c>
      <c r="D1253" s="60" t="s">
        <v>8483</v>
      </c>
      <c r="E1253" s="60" t="s">
        <v>8483</v>
      </c>
      <c r="F1253" s="61" t="s">
        <v>620</v>
      </c>
    </row>
    <row r="1254" customFormat="false" ht="15" hidden="false" customHeight="false" outlineLevel="0" collapsed="false">
      <c r="A1254" s="92" t="str">
        <f aca="false">Gov_Map!$H498&amp;""</f>
        <v>—</v>
      </c>
      <c r="B1254" s="73" t="s">
        <v>8482</v>
      </c>
      <c r="C1254" s="60" t="n">
        <v>498</v>
      </c>
      <c r="D1254" s="60" t="s">
        <v>8483</v>
      </c>
      <c r="E1254" s="60" t="s">
        <v>8483</v>
      </c>
      <c r="F1254" s="61" t="s">
        <v>620</v>
      </c>
    </row>
    <row r="1255" customFormat="false" ht="15" hidden="false" customHeight="false" outlineLevel="0" collapsed="false">
      <c r="A1255" s="92" t="str">
        <f aca="false">Gov_Map!$H499&amp;""</f>
        <v>—</v>
      </c>
      <c r="B1255" s="73" t="s">
        <v>8482</v>
      </c>
      <c r="C1255" s="60" t="n">
        <v>499</v>
      </c>
      <c r="D1255" s="60" t="s">
        <v>8483</v>
      </c>
      <c r="E1255" s="60" t="s">
        <v>8483</v>
      </c>
      <c r="F1255" s="61" t="s">
        <v>620</v>
      </c>
    </row>
    <row r="1256" customFormat="false" ht="15" hidden="false" customHeight="false" outlineLevel="0" collapsed="false">
      <c r="A1256" s="92" t="str">
        <f aca="false">Gov_Map!$H500&amp;""</f>
        <v>—</v>
      </c>
      <c r="B1256" s="73" t="s">
        <v>8482</v>
      </c>
      <c r="C1256" s="60" t="n">
        <v>500</v>
      </c>
      <c r="D1256" s="60" t="s">
        <v>8483</v>
      </c>
      <c r="E1256" s="60" t="s">
        <v>8483</v>
      </c>
      <c r="F1256" s="61" t="s">
        <v>620</v>
      </c>
    </row>
    <row r="1257" customFormat="false" ht="15" hidden="false" customHeight="false" outlineLevel="0" collapsed="false">
      <c r="A1257" s="92" t="str">
        <f aca="false">Gov_Map!$H501&amp;""</f>
        <v>—</v>
      </c>
      <c r="B1257" s="73" t="s">
        <v>8482</v>
      </c>
      <c r="C1257" s="60" t="n">
        <v>501</v>
      </c>
      <c r="D1257" s="60" t="s">
        <v>8483</v>
      </c>
      <c r="E1257" s="60" t="s">
        <v>8483</v>
      </c>
      <c r="F1257" s="61" t="s">
        <v>620</v>
      </c>
    </row>
    <row r="1258" customFormat="false" ht="15" hidden="false" customHeight="false" outlineLevel="0" collapsed="false">
      <c r="A1258" s="92" t="str">
        <f aca="false">Gov_Map!$H502&amp;""</f>
        <v>SRC_HAR_002</v>
      </c>
      <c r="B1258" s="73" t="s">
        <v>8482</v>
      </c>
      <c r="C1258" s="60" t="n">
        <v>502</v>
      </c>
      <c r="D1258" s="60" t="s">
        <v>8483</v>
      </c>
      <c r="E1258" s="60" t="s">
        <v>8483</v>
      </c>
      <c r="F1258" s="61" t="s">
        <v>620</v>
      </c>
    </row>
    <row r="1259" customFormat="false" ht="15" hidden="false" customHeight="false" outlineLevel="0" collapsed="false">
      <c r="A1259" s="92" t="str">
        <f aca="false">Gov_Map!$H503&amp;""</f>
        <v>SRC_CAP_020</v>
      </c>
      <c r="B1259" s="73" t="s">
        <v>8482</v>
      </c>
      <c r="C1259" s="60" t="n">
        <v>503</v>
      </c>
      <c r="D1259" s="60" t="s">
        <v>8483</v>
      </c>
      <c r="E1259" s="60" t="s">
        <v>8483</v>
      </c>
      <c r="F1259" s="61" t="s">
        <v>620</v>
      </c>
    </row>
    <row r="1260" customFormat="false" ht="15" hidden="false" customHeight="false" outlineLevel="0" collapsed="false">
      <c r="A1260" s="92" t="str">
        <f aca="false">Gov_Map!$H504&amp;""</f>
        <v>SRC_CAP_020</v>
      </c>
      <c r="B1260" s="73" t="s">
        <v>8482</v>
      </c>
      <c r="C1260" s="60" t="n">
        <v>504</v>
      </c>
      <c r="D1260" s="60" t="s">
        <v>8483</v>
      </c>
      <c r="E1260" s="60" t="s">
        <v>8483</v>
      </c>
      <c r="F1260" s="61" t="s">
        <v>620</v>
      </c>
    </row>
    <row r="1261" customFormat="false" ht="15" hidden="false" customHeight="false" outlineLevel="0" collapsed="false">
      <c r="A1261" s="92" t="str">
        <f aca="false">Gov_Map!$H505&amp;""</f>
        <v>SRC_CAP_021</v>
      </c>
      <c r="B1261" s="73" t="s">
        <v>8482</v>
      </c>
      <c r="C1261" s="60" t="n">
        <v>505</v>
      </c>
      <c r="D1261" s="60" t="s">
        <v>8483</v>
      </c>
      <c r="E1261" s="60" t="s">
        <v>8483</v>
      </c>
      <c r="F1261" s="61" t="s">
        <v>620</v>
      </c>
    </row>
    <row r="1262" customFormat="false" ht="15" hidden="false" customHeight="false" outlineLevel="0" collapsed="false">
      <c r="A1262" s="92" t="str">
        <f aca="false">Gov_Map!$H506&amp;""</f>
        <v>SRC_CAP_012</v>
      </c>
      <c r="B1262" s="73" t="s">
        <v>8482</v>
      </c>
      <c r="C1262" s="60" t="n">
        <v>506</v>
      </c>
      <c r="D1262" s="60" t="s">
        <v>8483</v>
      </c>
      <c r="E1262" s="60" t="s">
        <v>8483</v>
      </c>
      <c r="F1262" s="61" t="s">
        <v>620</v>
      </c>
    </row>
    <row r="1263" customFormat="false" ht="15" hidden="false" customHeight="false" outlineLevel="0" collapsed="false">
      <c r="A1263" s="92" t="str">
        <f aca="false">Gov_Map!$H507&amp;""</f>
        <v>SRC_CAP_012</v>
      </c>
      <c r="B1263" s="73" t="s">
        <v>8482</v>
      </c>
      <c r="C1263" s="60" t="n">
        <v>507</v>
      </c>
      <c r="D1263" s="60" t="s">
        <v>8483</v>
      </c>
      <c r="E1263" s="60" t="s">
        <v>8483</v>
      </c>
      <c r="F1263" s="61" t="s">
        <v>620</v>
      </c>
    </row>
    <row r="1264" customFormat="false" ht="15" hidden="false" customHeight="false" outlineLevel="0" collapsed="false">
      <c r="A1264" s="92" t="str">
        <f aca="false">Gov_Map!$H508&amp;""</f>
        <v>—</v>
      </c>
      <c r="B1264" s="73" t="s">
        <v>8482</v>
      </c>
      <c r="C1264" s="60" t="n">
        <v>508</v>
      </c>
      <c r="D1264" s="60" t="s">
        <v>8483</v>
      </c>
      <c r="E1264" s="60" t="s">
        <v>8483</v>
      </c>
      <c r="F1264" s="61" t="s">
        <v>620</v>
      </c>
    </row>
    <row r="1265" customFormat="false" ht="15" hidden="false" customHeight="false" outlineLevel="0" collapsed="false">
      <c r="A1265" s="92" t="str">
        <f aca="false">Gov_Map!$H509&amp;""</f>
        <v>—</v>
      </c>
      <c r="B1265" s="73" t="s">
        <v>8482</v>
      </c>
      <c r="C1265" s="60" t="n">
        <v>509</v>
      </c>
      <c r="D1265" s="60" t="s">
        <v>8483</v>
      </c>
      <c r="E1265" s="60" t="s">
        <v>8483</v>
      </c>
      <c r="F1265" s="61" t="s">
        <v>620</v>
      </c>
    </row>
    <row r="1266" customFormat="false" ht="15" hidden="false" customHeight="false" outlineLevel="0" collapsed="false">
      <c r="A1266" s="92" t="str">
        <f aca="false">Gov_Map!$H510&amp;""</f>
        <v>—</v>
      </c>
      <c r="B1266" s="73" t="s">
        <v>8482</v>
      </c>
      <c r="C1266" s="60" t="n">
        <v>510</v>
      </c>
      <c r="D1266" s="60" t="s">
        <v>8483</v>
      </c>
      <c r="E1266" s="60" t="s">
        <v>8483</v>
      </c>
      <c r="F1266" s="61" t="s">
        <v>620</v>
      </c>
    </row>
    <row r="1267" customFormat="false" ht="15" hidden="false" customHeight="false" outlineLevel="0" collapsed="false">
      <c r="A1267" s="92" t="str">
        <f aca="false">Gov_Map!$H511&amp;""</f>
        <v>—</v>
      </c>
      <c r="B1267" s="73" t="s">
        <v>8482</v>
      </c>
      <c r="C1267" s="60" t="n">
        <v>511</v>
      </c>
      <c r="D1267" s="60" t="s">
        <v>8483</v>
      </c>
      <c r="E1267" s="60" t="s">
        <v>8483</v>
      </c>
      <c r="F1267" s="61" t="s">
        <v>620</v>
      </c>
    </row>
    <row r="1268" customFormat="false" ht="15" hidden="false" customHeight="false" outlineLevel="0" collapsed="false">
      <c r="A1268" s="92" t="str">
        <f aca="false">Gov_Map!$H512&amp;""</f>
        <v>SRC_HW_037</v>
      </c>
      <c r="B1268" s="73" t="s">
        <v>8482</v>
      </c>
      <c r="C1268" s="60" t="n">
        <v>512</v>
      </c>
      <c r="D1268" s="60" t="s">
        <v>8483</v>
      </c>
      <c r="E1268" s="60" t="s">
        <v>8483</v>
      </c>
      <c r="F1268" s="61" t="s">
        <v>620</v>
      </c>
    </row>
    <row r="1269" customFormat="false" ht="15" hidden="false" customHeight="false" outlineLevel="0" collapsed="false">
      <c r="A1269" s="92" t="str">
        <f aca="false">Gov_Map!$H513&amp;""</f>
        <v>—</v>
      </c>
      <c r="B1269" s="73" t="s">
        <v>8482</v>
      </c>
      <c r="C1269" s="60" t="n">
        <v>513</v>
      </c>
      <c r="D1269" s="60" t="s">
        <v>8483</v>
      </c>
      <c r="E1269" s="60" t="s">
        <v>8483</v>
      </c>
      <c r="F1269" s="61" t="s">
        <v>620</v>
      </c>
    </row>
    <row r="1270" customFormat="false" ht="15" hidden="false" customHeight="false" outlineLevel="0" collapsed="false">
      <c r="A1270" s="92" t="str">
        <f aca="false">Gov_Map!$H514&amp;""</f>
        <v>—</v>
      </c>
      <c r="B1270" s="73" t="s">
        <v>8482</v>
      </c>
      <c r="C1270" s="60" t="n">
        <v>514</v>
      </c>
      <c r="D1270" s="60" t="s">
        <v>8483</v>
      </c>
      <c r="E1270" s="60" t="s">
        <v>8483</v>
      </c>
      <c r="F1270" s="61" t="s">
        <v>620</v>
      </c>
    </row>
    <row r="1271" customFormat="false" ht="15" hidden="false" customHeight="false" outlineLevel="0" collapsed="false">
      <c r="A1271" s="92" t="str">
        <f aca="false">Gov_Map!$H515&amp;""</f>
        <v>SRC_MOD_046</v>
      </c>
      <c r="B1271" s="73" t="s">
        <v>8482</v>
      </c>
      <c r="C1271" s="60" t="n">
        <v>515</v>
      </c>
      <c r="D1271" s="60" t="s">
        <v>8483</v>
      </c>
      <c r="E1271" s="60" t="s">
        <v>8483</v>
      </c>
      <c r="F1271" s="61" t="s">
        <v>620</v>
      </c>
    </row>
    <row r="1272" customFormat="false" ht="15" hidden="false" customHeight="false" outlineLevel="0" collapsed="false">
      <c r="A1272" s="92" t="str">
        <f aca="false">Gov_Map!$H516&amp;""</f>
        <v>—</v>
      </c>
      <c r="B1272" s="73" t="s">
        <v>8482</v>
      </c>
      <c r="C1272" s="60" t="n">
        <v>516</v>
      </c>
      <c r="D1272" s="60" t="s">
        <v>8483</v>
      </c>
      <c r="E1272" s="60" t="s">
        <v>8483</v>
      </c>
      <c r="F1272" s="61" t="s">
        <v>620</v>
      </c>
    </row>
    <row r="1273" customFormat="false" ht="15" hidden="false" customHeight="false" outlineLevel="0" collapsed="false">
      <c r="A1273" s="92" t="str">
        <f aca="false">Gov_Map!$H517&amp;""</f>
        <v>—</v>
      </c>
      <c r="B1273" s="73" t="s">
        <v>8482</v>
      </c>
      <c r="C1273" s="60" t="n">
        <v>517</v>
      </c>
      <c r="D1273" s="60" t="s">
        <v>8483</v>
      </c>
      <c r="E1273" s="60" t="s">
        <v>8483</v>
      </c>
      <c r="F1273" s="61" t="s">
        <v>620</v>
      </c>
    </row>
    <row r="1274" customFormat="false" ht="15" hidden="false" customHeight="false" outlineLevel="0" collapsed="false">
      <c r="A1274" s="92" t="str">
        <f aca="false">Gov_Map!$H518&amp;""</f>
        <v>—</v>
      </c>
      <c r="B1274" s="73" t="s">
        <v>8482</v>
      </c>
      <c r="C1274" s="60" t="n">
        <v>518</v>
      </c>
      <c r="D1274" s="60" t="s">
        <v>8483</v>
      </c>
      <c r="E1274" s="60" t="s">
        <v>8483</v>
      </c>
      <c r="F1274" s="61" t="s">
        <v>620</v>
      </c>
    </row>
    <row r="1275" customFormat="false" ht="15" hidden="false" customHeight="false" outlineLevel="0" collapsed="false">
      <c r="A1275" s="92" t="str">
        <f aca="false">Gov_Map!$H519&amp;""</f>
        <v>—</v>
      </c>
      <c r="B1275" s="73" t="s">
        <v>8482</v>
      </c>
      <c r="C1275" s="60" t="n">
        <v>519</v>
      </c>
      <c r="D1275" s="60" t="s">
        <v>8483</v>
      </c>
      <c r="E1275" s="60" t="s">
        <v>8483</v>
      </c>
      <c r="F1275" s="61" t="s">
        <v>620</v>
      </c>
    </row>
    <row r="1276" customFormat="false" ht="15" hidden="false" customHeight="false" outlineLevel="0" collapsed="false">
      <c r="A1276" s="92" t="str">
        <f aca="false">Gov_Map!$H520&amp;""</f>
        <v>—</v>
      </c>
      <c r="B1276" s="73" t="s">
        <v>8482</v>
      </c>
      <c r="C1276" s="60" t="n">
        <v>520</v>
      </c>
      <c r="D1276" s="60" t="s">
        <v>8483</v>
      </c>
      <c r="E1276" s="60" t="s">
        <v>8483</v>
      </c>
      <c r="F1276" s="61" t="s">
        <v>620</v>
      </c>
    </row>
    <row r="1277" customFormat="false" ht="15" hidden="false" customHeight="false" outlineLevel="0" collapsed="false">
      <c r="A1277" s="92" t="str">
        <f aca="false">Gov_Map!$H521&amp;""</f>
        <v>—</v>
      </c>
      <c r="B1277" s="73" t="s">
        <v>8482</v>
      </c>
      <c r="C1277" s="60" t="n">
        <v>521</v>
      </c>
      <c r="D1277" s="60" t="s">
        <v>8483</v>
      </c>
      <c r="E1277" s="60" t="s">
        <v>8483</v>
      </c>
      <c r="F1277" s="61" t="s">
        <v>620</v>
      </c>
    </row>
    <row r="1278" customFormat="false" ht="15" hidden="false" customHeight="false" outlineLevel="0" collapsed="false">
      <c r="A1278" s="92" t="str">
        <f aca="false">Gov_Map!$H522&amp;""</f>
        <v>—</v>
      </c>
      <c r="B1278" s="73" t="s">
        <v>8482</v>
      </c>
      <c r="C1278" s="60" t="n">
        <v>522</v>
      </c>
      <c r="D1278" s="60" t="s">
        <v>8483</v>
      </c>
      <c r="E1278" s="60" t="s">
        <v>8483</v>
      </c>
      <c r="F1278" s="61" t="s">
        <v>620</v>
      </c>
    </row>
    <row r="1279" customFormat="false" ht="15" hidden="false" customHeight="false" outlineLevel="0" collapsed="false">
      <c r="A1279" s="92" t="str">
        <f aca="false">Gov_Map!$H523&amp;""</f>
        <v>SRC_PERF_036</v>
      </c>
      <c r="B1279" s="73" t="s">
        <v>8482</v>
      </c>
      <c r="C1279" s="60" t="n">
        <v>523</v>
      </c>
      <c r="D1279" s="60" t="s">
        <v>8483</v>
      </c>
      <c r="E1279" s="60" t="s">
        <v>8483</v>
      </c>
      <c r="F1279" s="61" t="s">
        <v>620</v>
      </c>
    </row>
    <row r="1280" customFormat="false" ht="15" hidden="false" customHeight="false" outlineLevel="0" collapsed="false">
      <c r="A1280" s="92" t="str">
        <f aca="false">Gov_Map!$H524&amp;""</f>
        <v>SRC_PERF_037</v>
      </c>
      <c r="B1280" s="73" t="s">
        <v>8482</v>
      </c>
      <c r="C1280" s="60" t="n">
        <v>524</v>
      </c>
      <c r="D1280" s="60" t="s">
        <v>8483</v>
      </c>
      <c r="E1280" s="60" t="s">
        <v>8483</v>
      </c>
      <c r="F1280" s="61" t="s">
        <v>620</v>
      </c>
    </row>
    <row r="1281" customFormat="false" ht="15" hidden="false" customHeight="false" outlineLevel="0" collapsed="false">
      <c r="A1281" s="92" t="str">
        <f aca="false">Gov_Map!$H525&amp;""</f>
        <v>—</v>
      </c>
      <c r="B1281" s="73" t="s">
        <v>8482</v>
      </c>
      <c r="C1281" s="60" t="n">
        <v>525</v>
      </c>
      <c r="D1281" s="60" t="s">
        <v>8483</v>
      </c>
      <c r="E1281" s="60" t="s">
        <v>8483</v>
      </c>
      <c r="F1281" s="61" t="s">
        <v>620</v>
      </c>
    </row>
    <row r="1282" customFormat="false" ht="15" hidden="false" customHeight="false" outlineLevel="0" collapsed="false">
      <c r="A1282" s="92" t="str">
        <f aca="false">Gov_Map!$H526&amp;""</f>
        <v>—</v>
      </c>
      <c r="B1282" s="73" t="s">
        <v>8482</v>
      </c>
      <c r="C1282" s="60" t="n">
        <v>526</v>
      </c>
      <c r="D1282" s="60" t="s">
        <v>8483</v>
      </c>
      <c r="E1282" s="60" t="s">
        <v>8483</v>
      </c>
      <c r="F1282" s="61" t="s">
        <v>620</v>
      </c>
    </row>
    <row r="1283" customFormat="false" ht="15" hidden="false" customHeight="false" outlineLevel="0" collapsed="false">
      <c r="A1283" s="92" t="str">
        <f aca="false">Gov_Map!$H527&amp;""</f>
        <v>—</v>
      </c>
      <c r="B1283" s="73" t="s">
        <v>8482</v>
      </c>
      <c r="C1283" s="60" t="n">
        <v>527</v>
      </c>
      <c r="D1283" s="60" t="s">
        <v>8483</v>
      </c>
      <c r="E1283" s="60" t="s">
        <v>8483</v>
      </c>
      <c r="F1283" s="61" t="s">
        <v>620</v>
      </c>
    </row>
    <row r="1284" customFormat="false" ht="15" hidden="false" customHeight="false" outlineLevel="0" collapsed="false">
      <c r="A1284" s="92" t="str">
        <f aca="false">Gov_Map!$H528&amp;""</f>
        <v>SRC_MOD_046</v>
      </c>
      <c r="B1284" s="73" t="s">
        <v>8482</v>
      </c>
      <c r="C1284" s="60" t="n">
        <v>528</v>
      </c>
      <c r="D1284" s="60" t="s">
        <v>8483</v>
      </c>
      <c r="E1284" s="60" t="s">
        <v>8483</v>
      </c>
      <c r="F1284" s="61" t="s">
        <v>620</v>
      </c>
    </row>
    <row r="1285" customFormat="false" ht="15" hidden="false" customHeight="false" outlineLevel="0" collapsed="false">
      <c r="A1285" s="92" t="str">
        <f aca="false">Gov_Map!$H529&amp;""</f>
        <v>—</v>
      </c>
      <c r="B1285" s="73" t="s">
        <v>8482</v>
      </c>
      <c r="C1285" s="60" t="n">
        <v>529</v>
      </c>
      <c r="D1285" s="60" t="s">
        <v>8483</v>
      </c>
      <c r="E1285" s="60" t="s">
        <v>8483</v>
      </c>
      <c r="F1285" s="61" t="s">
        <v>620</v>
      </c>
    </row>
    <row r="1286" customFormat="false" ht="15" hidden="false" customHeight="false" outlineLevel="0" collapsed="false">
      <c r="A1286" s="92" t="str">
        <f aca="false">Gov_Map!$H530&amp;""</f>
        <v>SRC_DEM_001</v>
      </c>
      <c r="B1286" s="73" t="s">
        <v>8482</v>
      </c>
      <c r="C1286" s="60" t="n">
        <v>530</v>
      </c>
      <c r="D1286" s="60" t="s">
        <v>8483</v>
      </c>
      <c r="E1286" s="60" t="s">
        <v>8483</v>
      </c>
      <c r="F1286" s="61" t="s">
        <v>620</v>
      </c>
    </row>
    <row r="1287" customFormat="false" ht="15" hidden="false" customHeight="false" outlineLevel="0" collapsed="false">
      <c r="A1287" s="92" t="str">
        <f aca="false">Gov_Map!$H531&amp;""</f>
        <v>—</v>
      </c>
      <c r="B1287" s="73" t="s">
        <v>8482</v>
      </c>
      <c r="C1287" s="60" t="n">
        <v>531</v>
      </c>
      <c r="D1287" s="60" t="s">
        <v>8483</v>
      </c>
      <c r="E1287" s="60" t="s">
        <v>8483</v>
      </c>
      <c r="F1287" s="61" t="s">
        <v>620</v>
      </c>
    </row>
    <row r="1288" customFormat="false" ht="15" hidden="false" customHeight="false" outlineLevel="0" collapsed="false">
      <c r="A1288" s="92" t="str">
        <f aca="false">Gov_Map!$H532&amp;""</f>
        <v>—</v>
      </c>
      <c r="B1288" s="73" t="s">
        <v>8482</v>
      </c>
      <c r="C1288" s="60" t="n">
        <v>532</v>
      </c>
      <c r="D1288" s="60" t="s">
        <v>8483</v>
      </c>
      <c r="E1288" s="60" t="s">
        <v>8483</v>
      </c>
      <c r="F1288" s="61" t="s">
        <v>620</v>
      </c>
    </row>
    <row r="1289" customFormat="false" ht="15" hidden="false" customHeight="false" outlineLevel="0" collapsed="false">
      <c r="A1289" s="92" t="str">
        <f aca="false">Gov_Map!$H533&amp;""</f>
        <v>—</v>
      </c>
      <c r="B1289" s="73" t="s">
        <v>8482</v>
      </c>
      <c r="C1289" s="60" t="n">
        <v>533</v>
      </c>
      <c r="D1289" s="60" t="s">
        <v>8483</v>
      </c>
      <c r="E1289" s="60" t="s">
        <v>8483</v>
      </c>
      <c r="F1289" s="61" t="s">
        <v>620</v>
      </c>
    </row>
    <row r="1290" customFormat="false" ht="15" hidden="false" customHeight="false" outlineLevel="0" collapsed="false">
      <c r="A1290" s="92" t="str">
        <f aca="false">Gov_Map!$H534&amp;""</f>
        <v>—</v>
      </c>
      <c r="B1290" s="73" t="s">
        <v>8482</v>
      </c>
      <c r="C1290" s="60" t="n">
        <v>534</v>
      </c>
      <c r="D1290" s="60" t="s">
        <v>8483</v>
      </c>
      <c r="E1290" s="60" t="s">
        <v>8483</v>
      </c>
      <c r="F1290" s="61" t="s">
        <v>620</v>
      </c>
    </row>
    <row r="1291" customFormat="false" ht="15" hidden="false" customHeight="false" outlineLevel="0" collapsed="false">
      <c r="A1291" s="92" t="str">
        <f aca="false">Gov_Map!$H535&amp;""</f>
        <v>—</v>
      </c>
      <c r="B1291" s="73" t="s">
        <v>8482</v>
      </c>
      <c r="C1291" s="60" t="n">
        <v>535</v>
      </c>
      <c r="D1291" s="60" t="s">
        <v>8483</v>
      </c>
      <c r="E1291" s="60" t="s">
        <v>8483</v>
      </c>
      <c r="F1291" s="61" t="s">
        <v>620</v>
      </c>
    </row>
    <row r="1292" customFormat="false" ht="15" hidden="false" customHeight="false" outlineLevel="0" collapsed="false">
      <c r="A1292" s="92" t="str">
        <f aca="false">Gov_Map!$H536&amp;""</f>
        <v>SRC_MOD_031</v>
      </c>
      <c r="B1292" s="73" t="s">
        <v>8482</v>
      </c>
      <c r="C1292" s="60" t="n">
        <v>536</v>
      </c>
      <c r="D1292" s="60" t="s">
        <v>8483</v>
      </c>
      <c r="E1292" s="60" t="s">
        <v>8483</v>
      </c>
      <c r="F1292" s="61" t="s">
        <v>620</v>
      </c>
    </row>
    <row r="1293" customFormat="false" ht="15" hidden="false" customHeight="false" outlineLevel="0" collapsed="false">
      <c r="A1293" s="92" t="str">
        <f aca="false">Gov_Map!$H537&amp;""</f>
        <v>—</v>
      </c>
      <c r="B1293" s="73" t="s">
        <v>8482</v>
      </c>
      <c r="C1293" s="60" t="n">
        <v>537</v>
      </c>
      <c r="D1293" s="60" t="s">
        <v>8483</v>
      </c>
      <c r="E1293" s="60" t="s">
        <v>8483</v>
      </c>
      <c r="F1293" s="61" t="s">
        <v>620</v>
      </c>
    </row>
    <row r="1294" customFormat="false" ht="15" hidden="false" customHeight="false" outlineLevel="0" collapsed="false">
      <c r="A1294" s="92" t="str">
        <f aca="false">Gov_Map!$H538&amp;""</f>
        <v>—</v>
      </c>
      <c r="B1294" s="73" t="s">
        <v>8482</v>
      </c>
      <c r="C1294" s="60" t="n">
        <v>538</v>
      </c>
      <c r="D1294" s="60" t="s">
        <v>8483</v>
      </c>
      <c r="E1294" s="60" t="s">
        <v>8483</v>
      </c>
      <c r="F1294" s="61" t="s">
        <v>620</v>
      </c>
    </row>
    <row r="1295" customFormat="false" ht="15" hidden="false" customHeight="false" outlineLevel="0" collapsed="false">
      <c r="A1295" s="92" t="str">
        <f aca="false">Gov_Map!$H539&amp;""</f>
        <v>—</v>
      </c>
      <c r="B1295" s="73" t="s">
        <v>8482</v>
      </c>
      <c r="C1295" s="60" t="n">
        <v>539</v>
      </c>
      <c r="D1295" s="60" t="s">
        <v>8483</v>
      </c>
      <c r="E1295" s="60" t="s">
        <v>8483</v>
      </c>
      <c r="F1295" s="61" t="s">
        <v>620</v>
      </c>
    </row>
    <row r="1296" customFormat="false" ht="15" hidden="false" customHeight="false" outlineLevel="0" collapsed="false">
      <c r="A1296" s="92" t="str">
        <f aca="false">Gov_Map!$H540&amp;""</f>
        <v>—</v>
      </c>
      <c r="B1296" s="73" t="s">
        <v>8482</v>
      </c>
      <c r="C1296" s="60" t="n">
        <v>540</v>
      </c>
      <c r="D1296" s="60" t="s">
        <v>8483</v>
      </c>
      <c r="E1296" s="60" t="s">
        <v>8483</v>
      </c>
      <c r="F1296" s="61" t="s">
        <v>620</v>
      </c>
    </row>
    <row r="1297" customFormat="false" ht="15" hidden="false" customHeight="false" outlineLevel="0" collapsed="false">
      <c r="A1297" s="92" t="str">
        <f aca="false">Gov_Map!$H541&amp;""</f>
        <v>—</v>
      </c>
      <c r="B1297" s="73" t="s">
        <v>8482</v>
      </c>
      <c r="C1297" s="60" t="n">
        <v>541</v>
      </c>
      <c r="D1297" s="60" t="s">
        <v>8483</v>
      </c>
      <c r="E1297" s="60" t="s">
        <v>8483</v>
      </c>
      <c r="F1297" s="61" t="s">
        <v>620</v>
      </c>
    </row>
    <row r="1298" customFormat="false" ht="15" hidden="false" customHeight="false" outlineLevel="0" collapsed="false">
      <c r="A1298" s="92" t="str">
        <f aca="false">Gov_Map!$H542&amp;""</f>
        <v>—</v>
      </c>
      <c r="B1298" s="73" t="s">
        <v>8482</v>
      </c>
      <c r="C1298" s="60" t="n">
        <v>542</v>
      </c>
      <c r="D1298" s="60" t="s">
        <v>8483</v>
      </c>
      <c r="E1298" s="60" t="s">
        <v>8483</v>
      </c>
      <c r="F1298" s="61" t="s">
        <v>620</v>
      </c>
    </row>
    <row r="1299" customFormat="false" ht="15" hidden="false" customHeight="false" outlineLevel="0" collapsed="false">
      <c r="A1299" s="92" t="str">
        <f aca="false">Gov_Map!$H543&amp;""</f>
        <v>—</v>
      </c>
      <c r="B1299" s="73" t="s">
        <v>8482</v>
      </c>
      <c r="C1299" s="60" t="n">
        <v>543</v>
      </c>
      <c r="D1299" s="60" t="s">
        <v>8483</v>
      </c>
      <c r="E1299" s="60" t="s">
        <v>8483</v>
      </c>
      <c r="F1299" s="61" t="s">
        <v>620</v>
      </c>
    </row>
    <row r="1300" customFormat="false" ht="15" hidden="false" customHeight="false" outlineLevel="0" collapsed="false">
      <c r="A1300" s="92" t="str">
        <f aca="false">Gov_Map!$H544&amp;""</f>
        <v>—</v>
      </c>
      <c r="B1300" s="73" t="s">
        <v>8482</v>
      </c>
      <c r="C1300" s="60" t="n">
        <v>544</v>
      </c>
      <c r="D1300" s="60" t="s">
        <v>8483</v>
      </c>
      <c r="E1300" s="60" t="s">
        <v>8483</v>
      </c>
      <c r="F1300" s="61" t="s">
        <v>620</v>
      </c>
    </row>
    <row r="1301" customFormat="false" ht="15" hidden="false" customHeight="false" outlineLevel="0" collapsed="false">
      <c r="A1301" s="92" t="str">
        <f aca="false">Gov_Map!$H545&amp;""</f>
        <v>—</v>
      </c>
      <c r="B1301" s="73" t="s">
        <v>8482</v>
      </c>
      <c r="C1301" s="60" t="n">
        <v>545</v>
      </c>
      <c r="D1301" s="60" t="s">
        <v>8483</v>
      </c>
      <c r="E1301" s="60" t="s">
        <v>8483</v>
      </c>
      <c r="F1301" s="61" t="s">
        <v>620</v>
      </c>
    </row>
    <row r="1302" customFormat="false" ht="15" hidden="false" customHeight="false" outlineLevel="0" collapsed="false">
      <c r="A1302" s="92" t="str">
        <f aca="false">Gov_Map!$H546&amp;""</f>
        <v>—</v>
      </c>
      <c r="B1302" s="73" t="s">
        <v>8482</v>
      </c>
      <c r="C1302" s="60" t="n">
        <v>546</v>
      </c>
      <c r="D1302" s="60" t="s">
        <v>8483</v>
      </c>
      <c r="E1302" s="60" t="s">
        <v>8483</v>
      </c>
      <c r="F1302" s="61" t="s">
        <v>620</v>
      </c>
    </row>
    <row r="1303" customFormat="false" ht="15" hidden="false" customHeight="false" outlineLevel="0" collapsed="false">
      <c r="A1303" s="92" t="str">
        <f aca="false">Gov_Map!$H547&amp;""</f>
        <v>—</v>
      </c>
      <c r="B1303" s="73" t="s">
        <v>8482</v>
      </c>
      <c r="C1303" s="60" t="n">
        <v>547</v>
      </c>
      <c r="D1303" s="60" t="s">
        <v>8483</v>
      </c>
      <c r="E1303" s="60" t="s">
        <v>8483</v>
      </c>
      <c r="F1303" s="61" t="s">
        <v>620</v>
      </c>
    </row>
    <row r="1304" customFormat="false" ht="15" hidden="false" customHeight="false" outlineLevel="0" collapsed="false">
      <c r="A1304" s="92" t="str">
        <f aca="false">Gov_Map!$H548&amp;""</f>
        <v>—</v>
      </c>
      <c r="B1304" s="73" t="s">
        <v>8482</v>
      </c>
      <c r="C1304" s="60" t="n">
        <v>548</v>
      </c>
      <c r="D1304" s="60" t="s">
        <v>8483</v>
      </c>
      <c r="E1304" s="60" t="s">
        <v>8483</v>
      </c>
      <c r="F1304" s="61" t="s">
        <v>620</v>
      </c>
    </row>
    <row r="1305" customFormat="false" ht="15" hidden="false" customHeight="false" outlineLevel="0" collapsed="false">
      <c r="A1305" s="92" t="str">
        <f aca="false">Gov_Map!$H549&amp;""</f>
        <v>SRC_MOD_034</v>
      </c>
      <c r="B1305" s="73" t="s">
        <v>8482</v>
      </c>
      <c r="C1305" s="60" t="n">
        <v>549</v>
      </c>
      <c r="D1305" s="60" t="s">
        <v>8483</v>
      </c>
      <c r="E1305" s="60" t="s">
        <v>8483</v>
      </c>
      <c r="F1305" s="61" t="s">
        <v>620</v>
      </c>
    </row>
    <row r="1306" customFormat="false" ht="15" hidden="false" customHeight="false" outlineLevel="0" collapsed="false">
      <c r="A1306" s="92" t="str">
        <f aca="false">Gov_Map!$H550&amp;""</f>
        <v>SRC_MOD_033</v>
      </c>
      <c r="B1306" s="73" t="s">
        <v>8482</v>
      </c>
      <c r="C1306" s="60" t="n">
        <v>550</v>
      </c>
      <c r="D1306" s="60" t="s">
        <v>8483</v>
      </c>
      <c r="E1306" s="60" t="s">
        <v>8483</v>
      </c>
      <c r="F1306" s="61" t="s">
        <v>620</v>
      </c>
    </row>
    <row r="1307" customFormat="false" ht="15" hidden="false" customHeight="false" outlineLevel="0" collapsed="false">
      <c r="A1307" s="92" t="str">
        <f aca="false">Gov_Map!$H551&amp;""</f>
        <v>SRC_MOD_033</v>
      </c>
      <c r="B1307" s="73" t="s">
        <v>8482</v>
      </c>
      <c r="C1307" s="60" t="n">
        <v>551</v>
      </c>
      <c r="D1307" s="60" t="s">
        <v>8483</v>
      </c>
      <c r="E1307" s="60" t="s">
        <v>8483</v>
      </c>
      <c r="F1307" s="61" t="s">
        <v>620</v>
      </c>
    </row>
    <row r="1308" customFormat="false" ht="15" hidden="false" customHeight="false" outlineLevel="0" collapsed="false">
      <c r="A1308" s="92" t="str">
        <f aca="false">Gov_Map!$H552&amp;""</f>
        <v>SRC_MOD_033</v>
      </c>
      <c r="B1308" s="73" t="s">
        <v>8482</v>
      </c>
      <c r="C1308" s="60" t="n">
        <v>552</v>
      </c>
      <c r="D1308" s="60" t="s">
        <v>8483</v>
      </c>
      <c r="E1308" s="60" t="s">
        <v>8483</v>
      </c>
      <c r="F1308" s="61" t="s">
        <v>620</v>
      </c>
    </row>
    <row r="1309" customFormat="false" ht="15" hidden="false" customHeight="false" outlineLevel="0" collapsed="false">
      <c r="A1309" s="92" t="str">
        <f aca="false">Gov_Map!$H553&amp;""</f>
        <v>—</v>
      </c>
      <c r="B1309" s="73" t="s">
        <v>8482</v>
      </c>
      <c r="C1309" s="60" t="n">
        <v>553</v>
      </c>
      <c r="D1309" s="60" t="s">
        <v>8483</v>
      </c>
      <c r="E1309" s="60" t="s">
        <v>8483</v>
      </c>
      <c r="F1309" s="61" t="s">
        <v>620</v>
      </c>
    </row>
    <row r="1310" customFormat="false" ht="15" hidden="false" customHeight="false" outlineLevel="0" collapsed="false">
      <c r="A1310" s="92" t="str">
        <f aca="false">Gov_Map!$H554&amp;""</f>
        <v>—</v>
      </c>
      <c r="B1310" s="73" t="s">
        <v>8482</v>
      </c>
      <c r="C1310" s="60" t="n">
        <v>554</v>
      </c>
      <c r="D1310" s="60" t="s">
        <v>8483</v>
      </c>
      <c r="E1310" s="60" t="s">
        <v>8483</v>
      </c>
      <c r="F1310" s="61" t="s">
        <v>620</v>
      </c>
    </row>
    <row r="1311" customFormat="false" ht="15" hidden="false" customHeight="false" outlineLevel="0" collapsed="false">
      <c r="A1311" s="92" t="str">
        <f aca="false">Gov_Map!$H555&amp;""</f>
        <v>—</v>
      </c>
      <c r="B1311" s="73" t="s">
        <v>8482</v>
      </c>
      <c r="C1311" s="60" t="n">
        <v>555</v>
      </c>
      <c r="D1311" s="60" t="s">
        <v>8483</v>
      </c>
      <c r="E1311" s="60" t="s">
        <v>8483</v>
      </c>
      <c r="F1311" s="61" t="s">
        <v>620</v>
      </c>
    </row>
    <row r="1312" customFormat="false" ht="15" hidden="false" customHeight="false" outlineLevel="0" collapsed="false">
      <c r="A1312" s="92" t="str">
        <f aca="false">Gov_Map!$H556&amp;""</f>
        <v>—</v>
      </c>
      <c r="B1312" s="73" t="s">
        <v>8482</v>
      </c>
      <c r="C1312" s="60" t="n">
        <v>556</v>
      </c>
      <c r="D1312" s="60" t="s">
        <v>8483</v>
      </c>
      <c r="E1312" s="60" t="s">
        <v>8483</v>
      </c>
      <c r="F1312" s="61" t="s">
        <v>620</v>
      </c>
    </row>
    <row r="1313" customFormat="false" ht="15" hidden="false" customHeight="false" outlineLevel="0" collapsed="false">
      <c r="A1313" s="92" t="str">
        <f aca="false">Gov_Map!$H557&amp;""</f>
        <v>—</v>
      </c>
      <c r="B1313" s="73" t="s">
        <v>8482</v>
      </c>
      <c r="C1313" s="60" t="n">
        <v>557</v>
      </c>
      <c r="D1313" s="60" t="s">
        <v>8483</v>
      </c>
      <c r="E1313" s="60" t="s">
        <v>8483</v>
      </c>
      <c r="F1313" s="61" t="s">
        <v>620</v>
      </c>
    </row>
    <row r="1314" customFormat="false" ht="15" hidden="false" customHeight="false" outlineLevel="0" collapsed="false">
      <c r="A1314" s="92" t="str">
        <f aca="false">Gov_Map!$H558&amp;""</f>
        <v>—</v>
      </c>
      <c r="B1314" s="73" t="s">
        <v>8482</v>
      </c>
      <c r="C1314" s="60" t="n">
        <v>558</v>
      </c>
      <c r="D1314" s="60" t="s">
        <v>8483</v>
      </c>
      <c r="E1314" s="60" t="s">
        <v>8483</v>
      </c>
      <c r="F1314" s="61" t="s">
        <v>620</v>
      </c>
    </row>
    <row r="1315" customFormat="false" ht="15" hidden="false" customHeight="false" outlineLevel="0" collapsed="false">
      <c r="A1315" s="92" t="str">
        <f aca="false">Gov_Map!$H559&amp;""</f>
        <v>—</v>
      </c>
      <c r="B1315" s="73" t="s">
        <v>8482</v>
      </c>
      <c r="C1315" s="60" t="n">
        <v>559</v>
      </c>
      <c r="D1315" s="60" t="s">
        <v>8483</v>
      </c>
      <c r="E1315" s="60" t="s">
        <v>8483</v>
      </c>
      <c r="F1315" s="61" t="s">
        <v>620</v>
      </c>
    </row>
    <row r="1316" customFormat="false" ht="15" hidden="false" customHeight="false" outlineLevel="0" collapsed="false">
      <c r="A1316" s="92" t="str">
        <f aca="false">Gov_Map!$H560&amp;""</f>
        <v>—</v>
      </c>
      <c r="B1316" s="73" t="s">
        <v>8482</v>
      </c>
      <c r="C1316" s="60" t="n">
        <v>560</v>
      </c>
      <c r="D1316" s="60" t="s">
        <v>8483</v>
      </c>
      <c r="E1316" s="60" t="s">
        <v>8483</v>
      </c>
      <c r="F1316" s="61" t="s">
        <v>620</v>
      </c>
    </row>
    <row r="1317" customFormat="false" ht="15" hidden="false" customHeight="false" outlineLevel="0" collapsed="false">
      <c r="A1317" s="92" t="str">
        <f aca="false">Gov_Map!$H561&amp;""</f>
        <v>—</v>
      </c>
      <c r="B1317" s="73" t="s">
        <v>8482</v>
      </c>
      <c r="C1317" s="60" t="n">
        <v>561</v>
      </c>
      <c r="D1317" s="60" t="s">
        <v>8483</v>
      </c>
      <c r="E1317" s="60" t="s">
        <v>8483</v>
      </c>
      <c r="F1317" s="61" t="s">
        <v>620</v>
      </c>
    </row>
    <row r="1318" customFormat="false" ht="15" hidden="false" customHeight="false" outlineLevel="0" collapsed="false">
      <c r="A1318" s="92" t="str">
        <f aca="false">Gov_Map!$H562&amp;""</f>
        <v>—</v>
      </c>
      <c r="B1318" s="73" t="s">
        <v>8482</v>
      </c>
      <c r="C1318" s="60" t="n">
        <v>562</v>
      </c>
      <c r="D1318" s="60" t="s">
        <v>8483</v>
      </c>
      <c r="E1318" s="60" t="s">
        <v>8483</v>
      </c>
      <c r="F1318" s="61" t="s">
        <v>620</v>
      </c>
    </row>
    <row r="1319" customFormat="false" ht="15" hidden="false" customHeight="false" outlineLevel="0" collapsed="false">
      <c r="A1319" s="92" t="str">
        <f aca="false">Gov_Map!$H563&amp;""</f>
        <v>—</v>
      </c>
      <c r="B1319" s="73" t="s">
        <v>8482</v>
      </c>
      <c r="C1319" s="60" t="n">
        <v>563</v>
      </c>
      <c r="D1319" s="60" t="s">
        <v>8483</v>
      </c>
      <c r="E1319" s="60" t="s">
        <v>8483</v>
      </c>
      <c r="F1319" s="61" t="s">
        <v>620</v>
      </c>
    </row>
    <row r="1320" customFormat="false" ht="15" hidden="false" customHeight="false" outlineLevel="0" collapsed="false">
      <c r="A1320" s="92" t="str">
        <f aca="false">Gov_Map!$H564&amp;""</f>
        <v>—</v>
      </c>
      <c r="B1320" s="73" t="s">
        <v>8482</v>
      </c>
      <c r="C1320" s="60" t="n">
        <v>564</v>
      </c>
      <c r="D1320" s="60" t="s">
        <v>8483</v>
      </c>
      <c r="E1320" s="60" t="s">
        <v>8483</v>
      </c>
      <c r="F1320" s="61" t="s">
        <v>620</v>
      </c>
    </row>
    <row r="1321" customFormat="false" ht="15" hidden="false" customHeight="false" outlineLevel="0" collapsed="false">
      <c r="A1321" s="92" t="str">
        <f aca="false">Gov_Map!$H565&amp;""</f>
        <v>—</v>
      </c>
      <c r="B1321" s="73" t="s">
        <v>8482</v>
      </c>
      <c r="C1321" s="60" t="n">
        <v>565</v>
      </c>
      <c r="D1321" s="60" t="s">
        <v>8483</v>
      </c>
      <c r="E1321" s="60" t="s">
        <v>8483</v>
      </c>
      <c r="F1321" s="61" t="s">
        <v>620</v>
      </c>
    </row>
    <row r="1322" customFormat="false" ht="15" hidden="false" customHeight="false" outlineLevel="0" collapsed="false">
      <c r="A1322" s="92" t="str">
        <f aca="false">Gov_Map!$H566&amp;""</f>
        <v>—</v>
      </c>
      <c r="B1322" s="73" t="s">
        <v>8482</v>
      </c>
      <c r="C1322" s="60" t="n">
        <v>566</v>
      </c>
      <c r="D1322" s="60" t="s">
        <v>8483</v>
      </c>
      <c r="E1322" s="60" t="s">
        <v>8483</v>
      </c>
      <c r="F1322" s="61" t="s">
        <v>620</v>
      </c>
    </row>
    <row r="1323" customFormat="false" ht="15" hidden="false" customHeight="false" outlineLevel="0" collapsed="false">
      <c r="A1323" s="92" t="str">
        <f aca="false">Gov_Map!$H567&amp;""</f>
        <v>—</v>
      </c>
      <c r="B1323" s="73" t="s">
        <v>8482</v>
      </c>
      <c r="C1323" s="60" t="n">
        <v>567</v>
      </c>
      <c r="D1323" s="60" t="s">
        <v>8483</v>
      </c>
      <c r="E1323" s="60" t="s">
        <v>8483</v>
      </c>
      <c r="F1323" s="61" t="s">
        <v>620</v>
      </c>
    </row>
    <row r="1324" customFormat="false" ht="15" hidden="false" customHeight="false" outlineLevel="0" collapsed="false">
      <c r="A1324" s="92" t="str">
        <f aca="false">Gov_Map!$H568&amp;""</f>
        <v>—</v>
      </c>
      <c r="B1324" s="73" t="s">
        <v>8482</v>
      </c>
      <c r="C1324" s="60" t="n">
        <v>568</v>
      </c>
      <c r="D1324" s="60" t="s">
        <v>8483</v>
      </c>
      <c r="E1324" s="60" t="s">
        <v>8483</v>
      </c>
      <c r="F1324" s="61" t="s">
        <v>620</v>
      </c>
    </row>
    <row r="1325" customFormat="false" ht="15" hidden="false" customHeight="false" outlineLevel="0" collapsed="false">
      <c r="A1325" s="92" t="str">
        <f aca="false">Gov_Map!$H569&amp;""</f>
        <v>—</v>
      </c>
      <c r="B1325" s="73" t="s">
        <v>8482</v>
      </c>
      <c r="C1325" s="60" t="n">
        <v>569</v>
      </c>
      <c r="D1325" s="60" t="s">
        <v>8483</v>
      </c>
      <c r="E1325" s="60" t="s">
        <v>8483</v>
      </c>
      <c r="F1325" s="61" t="s">
        <v>620</v>
      </c>
    </row>
    <row r="1326" customFormat="false" ht="15" hidden="false" customHeight="false" outlineLevel="0" collapsed="false">
      <c r="A1326" s="92" t="str">
        <f aca="false">Gov_Map!$H570&amp;""</f>
        <v>—</v>
      </c>
      <c r="B1326" s="73" t="s">
        <v>8482</v>
      </c>
      <c r="C1326" s="60" t="n">
        <v>570</v>
      </c>
      <c r="D1326" s="60" t="s">
        <v>8483</v>
      </c>
      <c r="E1326" s="60" t="s">
        <v>8483</v>
      </c>
      <c r="F1326" s="61" t="s">
        <v>620</v>
      </c>
    </row>
    <row r="1327" customFormat="false" ht="15" hidden="false" customHeight="false" outlineLevel="0" collapsed="false">
      <c r="A1327" s="92" t="str">
        <f aca="false">Gov_Map!$H571&amp;""</f>
        <v>—</v>
      </c>
      <c r="B1327" s="73" t="s">
        <v>8482</v>
      </c>
      <c r="C1327" s="60" t="n">
        <v>571</v>
      </c>
      <c r="D1327" s="60" t="s">
        <v>8483</v>
      </c>
      <c r="E1327" s="60" t="s">
        <v>8483</v>
      </c>
      <c r="F1327" s="61" t="s">
        <v>620</v>
      </c>
    </row>
    <row r="1328" customFormat="false" ht="15" hidden="false" customHeight="false" outlineLevel="0" collapsed="false">
      <c r="A1328" s="92" t="str">
        <f aca="false">Gov_Map!$H572&amp;""</f>
        <v>—</v>
      </c>
      <c r="B1328" s="73" t="s">
        <v>8482</v>
      </c>
      <c r="C1328" s="60" t="n">
        <v>572</v>
      </c>
      <c r="D1328" s="60" t="s">
        <v>8483</v>
      </c>
      <c r="E1328" s="60" t="s">
        <v>8483</v>
      </c>
      <c r="F1328" s="61" t="s">
        <v>620</v>
      </c>
    </row>
    <row r="1329" customFormat="false" ht="15" hidden="false" customHeight="false" outlineLevel="0" collapsed="false">
      <c r="A1329" s="92" t="str">
        <f aca="false">Gov_Map!$H573&amp;""</f>
        <v>—</v>
      </c>
      <c r="B1329" s="73" t="s">
        <v>8482</v>
      </c>
      <c r="C1329" s="60" t="n">
        <v>573</v>
      </c>
      <c r="D1329" s="60" t="s">
        <v>8483</v>
      </c>
      <c r="E1329" s="60" t="s">
        <v>8483</v>
      </c>
      <c r="F1329" s="61" t="s">
        <v>620</v>
      </c>
    </row>
    <row r="1330" customFormat="false" ht="15" hidden="false" customHeight="false" outlineLevel="0" collapsed="false">
      <c r="A1330" s="92" t="str">
        <f aca="false">Gov_Map!$H574&amp;""</f>
        <v>—</v>
      </c>
      <c r="B1330" s="73" t="s">
        <v>8482</v>
      </c>
      <c r="C1330" s="60" t="n">
        <v>574</v>
      </c>
      <c r="D1330" s="60" t="s">
        <v>8483</v>
      </c>
      <c r="E1330" s="60" t="s">
        <v>8483</v>
      </c>
      <c r="F1330" s="61" t="s">
        <v>620</v>
      </c>
    </row>
    <row r="1331" customFormat="false" ht="15" hidden="false" customHeight="false" outlineLevel="0" collapsed="false">
      <c r="A1331" s="92" t="str">
        <f aca="false">Gov_Map!$H575&amp;""</f>
        <v>SRC_MOD_028</v>
      </c>
      <c r="B1331" s="73" t="s">
        <v>8482</v>
      </c>
      <c r="C1331" s="60" t="n">
        <v>575</v>
      </c>
      <c r="D1331" s="60" t="s">
        <v>8483</v>
      </c>
      <c r="E1331" s="60" t="s">
        <v>8483</v>
      </c>
      <c r="F1331" s="61" t="s">
        <v>620</v>
      </c>
    </row>
    <row r="1332" customFormat="false" ht="15" hidden="false" customHeight="false" outlineLevel="0" collapsed="false">
      <c r="A1332" s="92" t="str">
        <f aca="false">Gov_Map!$H576&amp;""</f>
        <v>—</v>
      </c>
      <c r="B1332" s="73" t="s">
        <v>8482</v>
      </c>
      <c r="C1332" s="60" t="n">
        <v>576</v>
      </c>
      <c r="D1332" s="60" t="s">
        <v>8483</v>
      </c>
      <c r="E1332" s="60" t="s">
        <v>8483</v>
      </c>
      <c r="F1332" s="61" t="s">
        <v>620</v>
      </c>
    </row>
    <row r="1333" customFormat="false" ht="15" hidden="false" customHeight="false" outlineLevel="0" collapsed="false">
      <c r="A1333" s="92" t="str">
        <f aca="false">Gov_Map!$H577&amp;""</f>
        <v>—</v>
      </c>
      <c r="B1333" s="73" t="s">
        <v>8482</v>
      </c>
      <c r="C1333" s="60" t="n">
        <v>577</v>
      </c>
      <c r="D1333" s="60" t="s">
        <v>8483</v>
      </c>
      <c r="E1333" s="60" t="s">
        <v>8483</v>
      </c>
      <c r="F1333" s="61" t="s">
        <v>620</v>
      </c>
    </row>
    <row r="1334" customFormat="false" ht="15" hidden="false" customHeight="false" outlineLevel="0" collapsed="false">
      <c r="A1334" s="92" t="str">
        <f aca="false">Gov_Map!$H578&amp;""</f>
        <v>SRC_HW_055</v>
      </c>
      <c r="B1334" s="73" t="s">
        <v>8482</v>
      </c>
      <c r="C1334" s="60" t="n">
        <v>578</v>
      </c>
      <c r="D1334" s="60" t="s">
        <v>8483</v>
      </c>
      <c r="E1334" s="60" t="s">
        <v>8483</v>
      </c>
      <c r="F1334" s="61" t="s">
        <v>620</v>
      </c>
    </row>
    <row r="1335" customFormat="false" ht="15" hidden="false" customHeight="false" outlineLevel="0" collapsed="false">
      <c r="A1335" s="92" t="str">
        <f aca="false">Gov_Map!$H579&amp;""</f>
        <v>—</v>
      </c>
      <c r="B1335" s="73" t="s">
        <v>8482</v>
      </c>
      <c r="C1335" s="60" t="n">
        <v>579</v>
      </c>
      <c r="D1335" s="60" t="s">
        <v>8483</v>
      </c>
      <c r="E1335" s="60" t="s">
        <v>8483</v>
      </c>
      <c r="F1335" s="61" t="s">
        <v>620</v>
      </c>
    </row>
    <row r="1336" customFormat="false" ht="15" hidden="false" customHeight="false" outlineLevel="0" collapsed="false">
      <c r="A1336" s="92" t="str">
        <f aca="false">Gov_Map!$H580&amp;""</f>
        <v>—</v>
      </c>
      <c r="B1336" s="73" t="s">
        <v>8482</v>
      </c>
      <c r="C1336" s="60" t="n">
        <v>580</v>
      </c>
      <c r="D1336" s="60" t="s">
        <v>8483</v>
      </c>
      <c r="E1336" s="60" t="s">
        <v>8483</v>
      </c>
      <c r="F1336" s="61" t="s">
        <v>620</v>
      </c>
    </row>
    <row r="1337" customFormat="false" ht="15" hidden="false" customHeight="false" outlineLevel="0" collapsed="false">
      <c r="A1337" s="92" t="str">
        <f aca="false">Gov_Map!$H581&amp;""</f>
        <v>—</v>
      </c>
      <c r="B1337" s="73" t="s">
        <v>8482</v>
      </c>
      <c r="C1337" s="60" t="n">
        <v>581</v>
      </c>
      <c r="D1337" s="60" t="s">
        <v>8483</v>
      </c>
      <c r="E1337" s="60" t="s">
        <v>8483</v>
      </c>
      <c r="F1337" s="61" t="s">
        <v>620</v>
      </c>
    </row>
    <row r="1338" customFormat="false" ht="15" hidden="false" customHeight="false" outlineLevel="0" collapsed="false">
      <c r="A1338" s="92" t="str">
        <f aca="false">Gov_Map!$H582&amp;""</f>
        <v>—</v>
      </c>
      <c r="B1338" s="73" t="s">
        <v>8482</v>
      </c>
      <c r="C1338" s="60" t="n">
        <v>582</v>
      </c>
      <c r="D1338" s="60" t="s">
        <v>8483</v>
      </c>
      <c r="E1338" s="60" t="s">
        <v>8483</v>
      </c>
      <c r="F1338" s="61" t="s">
        <v>620</v>
      </c>
    </row>
    <row r="1339" customFormat="false" ht="15" hidden="false" customHeight="false" outlineLevel="0" collapsed="false">
      <c r="A1339" s="92" t="str">
        <f aca="false">Gov_Map!$H583&amp;""</f>
        <v>—</v>
      </c>
      <c r="B1339" s="73" t="s">
        <v>8482</v>
      </c>
      <c r="C1339" s="60" t="n">
        <v>583</v>
      </c>
      <c r="D1339" s="60" t="s">
        <v>8483</v>
      </c>
      <c r="E1339" s="60" t="s">
        <v>8483</v>
      </c>
      <c r="F1339" s="61" t="s">
        <v>620</v>
      </c>
    </row>
    <row r="1340" customFormat="false" ht="15" hidden="false" customHeight="false" outlineLevel="0" collapsed="false">
      <c r="A1340" s="92" t="str">
        <f aca="false">Gov_Map!$H584&amp;""</f>
        <v>—</v>
      </c>
      <c r="B1340" s="73" t="s">
        <v>8482</v>
      </c>
      <c r="C1340" s="60" t="n">
        <v>584</v>
      </c>
      <c r="D1340" s="60" t="s">
        <v>8483</v>
      </c>
      <c r="E1340" s="60" t="s">
        <v>8483</v>
      </c>
      <c r="F1340" s="61" t="s">
        <v>620</v>
      </c>
    </row>
    <row r="1341" customFormat="false" ht="15" hidden="false" customHeight="false" outlineLevel="0" collapsed="false">
      <c r="A1341" s="92" t="str">
        <f aca="false">Gov_Map!$H585&amp;""</f>
        <v>—</v>
      </c>
      <c r="B1341" s="73" t="s">
        <v>8482</v>
      </c>
      <c r="C1341" s="60" t="n">
        <v>585</v>
      </c>
      <c r="D1341" s="60" t="s">
        <v>8483</v>
      </c>
      <c r="E1341" s="60" t="s">
        <v>8483</v>
      </c>
      <c r="F1341" s="61" t="s">
        <v>620</v>
      </c>
    </row>
    <row r="1342" customFormat="false" ht="15" hidden="false" customHeight="false" outlineLevel="0" collapsed="false">
      <c r="A1342" s="92" t="str">
        <f aca="false">Gov_Map!$H586&amp;""</f>
        <v>—</v>
      </c>
      <c r="B1342" s="73" t="s">
        <v>8482</v>
      </c>
      <c r="C1342" s="60" t="n">
        <v>586</v>
      </c>
      <c r="D1342" s="60" t="s">
        <v>8483</v>
      </c>
      <c r="E1342" s="60" t="s">
        <v>8483</v>
      </c>
      <c r="F1342" s="61" t="s">
        <v>620</v>
      </c>
    </row>
    <row r="1343" customFormat="false" ht="15" hidden="false" customHeight="false" outlineLevel="0" collapsed="false">
      <c r="A1343" s="92" t="str">
        <f aca="false">Gov_Map!$H587&amp;""</f>
        <v>—</v>
      </c>
      <c r="B1343" s="73" t="s">
        <v>8482</v>
      </c>
      <c r="C1343" s="60" t="n">
        <v>587</v>
      </c>
      <c r="D1343" s="60" t="s">
        <v>8483</v>
      </c>
      <c r="E1343" s="60" t="s">
        <v>8483</v>
      </c>
      <c r="F1343" s="61" t="s">
        <v>620</v>
      </c>
    </row>
    <row r="1344" customFormat="false" ht="15" hidden="false" customHeight="false" outlineLevel="0" collapsed="false">
      <c r="A1344" s="92" t="str">
        <f aca="false">Gov_Map!$H588&amp;""</f>
        <v>SRC_DEM_010</v>
      </c>
      <c r="B1344" s="73" t="s">
        <v>8482</v>
      </c>
      <c r="C1344" s="60" t="n">
        <v>588</v>
      </c>
      <c r="D1344" s="60" t="s">
        <v>8483</v>
      </c>
      <c r="E1344" s="60" t="s">
        <v>8483</v>
      </c>
      <c r="F1344" s="61" t="s">
        <v>620</v>
      </c>
    </row>
    <row r="1345" customFormat="false" ht="15" hidden="false" customHeight="false" outlineLevel="0" collapsed="false">
      <c r="A1345" s="92" t="str">
        <f aca="false">Gov_Map!$H589&amp;""</f>
        <v>—</v>
      </c>
      <c r="B1345" s="73" t="s">
        <v>8482</v>
      </c>
      <c r="C1345" s="60" t="n">
        <v>589</v>
      </c>
      <c r="D1345" s="60" t="s">
        <v>8483</v>
      </c>
      <c r="E1345" s="60" t="s">
        <v>8483</v>
      </c>
      <c r="F1345" s="61" t="s">
        <v>620</v>
      </c>
    </row>
    <row r="1346" customFormat="false" ht="15" hidden="false" customHeight="false" outlineLevel="0" collapsed="false">
      <c r="A1346" s="92" t="str">
        <f aca="false">Gov_Map!$H590&amp;""</f>
        <v>SRC_DEM_012</v>
      </c>
      <c r="B1346" s="73" t="s">
        <v>8482</v>
      </c>
      <c r="C1346" s="60" t="n">
        <v>590</v>
      </c>
      <c r="D1346" s="60" t="s">
        <v>8483</v>
      </c>
      <c r="E1346" s="60" t="s">
        <v>8483</v>
      </c>
      <c r="F1346" s="61" t="s">
        <v>620</v>
      </c>
    </row>
    <row r="1347" customFormat="false" ht="15" hidden="false" customHeight="false" outlineLevel="0" collapsed="false">
      <c r="A1347" s="92" t="str">
        <f aca="false">Gov_Map!$H591&amp;""</f>
        <v>—</v>
      </c>
      <c r="B1347" s="73" t="s">
        <v>8482</v>
      </c>
      <c r="C1347" s="60" t="n">
        <v>591</v>
      </c>
      <c r="D1347" s="60" t="s">
        <v>8483</v>
      </c>
      <c r="E1347" s="60" t="s">
        <v>8483</v>
      </c>
      <c r="F1347" s="61" t="s">
        <v>620</v>
      </c>
    </row>
    <row r="1348" customFormat="false" ht="15" hidden="false" customHeight="false" outlineLevel="0" collapsed="false">
      <c r="A1348" s="92" t="str">
        <f aca="false">Gov_Map!$H592&amp;""</f>
        <v>SRC_DEM_005</v>
      </c>
      <c r="B1348" s="73" t="s">
        <v>8482</v>
      </c>
      <c r="C1348" s="60" t="n">
        <v>592</v>
      </c>
      <c r="D1348" s="60" t="s">
        <v>8483</v>
      </c>
      <c r="E1348" s="60" t="s">
        <v>8483</v>
      </c>
      <c r="F1348" s="61" t="s">
        <v>620</v>
      </c>
    </row>
    <row r="1349" customFormat="false" ht="15" hidden="false" customHeight="false" outlineLevel="0" collapsed="false">
      <c r="A1349" s="92" t="str">
        <f aca="false">Gov_Map!$H593&amp;""</f>
        <v>—</v>
      </c>
      <c r="B1349" s="73" t="s">
        <v>8482</v>
      </c>
      <c r="C1349" s="60" t="n">
        <v>593</v>
      </c>
      <c r="D1349" s="60" t="s">
        <v>8483</v>
      </c>
      <c r="E1349" s="60" t="s">
        <v>8483</v>
      </c>
      <c r="F1349" s="61" t="s">
        <v>620</v>
      </c>
    </row>
    <row r="1350" customFormat="false" ht="15" hidden="false" customHeight="false" outlineLevel="0" collapsed="false">
      <c r="A1350" s="92" t="str">
        <f aca="false">Gov_Map!$H594&amp;""</f>
        <v>—</v>
      </c>
      <c r="B1350" s="73" t="s">
        <v>8482</v>
      </c>
      <c r="C1350" s="60" t="n">
        <v>594</v>
      </c>
      <c r="D1350" s="60" t="s">
        <v>8483</v>
      </c>
      <c r="E1350" s="60" t="s">
        <v>8483</v>
      </c>
      <c r="F1350" s="61" t="s">
        <v>620</v>
      </c>
    </row>
    <row r="1351" customFormat="false" ht="15" hidden="false" customHeight="false" outlineLevel="0" collapsed="false">
      <c r="A1351" s="92" t="str">
        <f aca="false">Gov_Map!$H595&amp;""</f>
        <v>—</v>
      </c>
      <c r="B1351" s="73" t="s">
        <v>8482</v>
      </c>
      <c r="C1351" s="60" t="n">
        <v>595</v>
      </c>
      <c r="D1351" s="60" t="s">
        <v>8483</v>
      </c>
      <c r="E1351" s="60" t="s">
        <v>8483</v>
      </c>
      <c r="F1351" s="61" t="s">
        <v>620</v>
      </c>
    </row>
    <row r="1352" customFormat="false" ht="15" hidden="false" customHeight="false" outlineLevel="0" collapsed="false">
      <c r="A1352" s="92" t="str">
        <f aca="false">Gov_Map!$H596&amp;""</f>
        <v>—</v>
      </c>
      <c r="B1352" s="73" t="s">
        <v>8482</v>
      </c>
      <c r="C1352" s="60" t="n">
        <v>596</v>
      </c>
      <c r="D1352" s="60" t="s">
        <v>8483</v>
      </c>
      <c r="E1352" s="60" t="s">
        <v>8483</v>
      </c>
      <c r="F1352" s="61" t="s">
        <v>620</v>
      </c>
    </row>
    <row r="1353" customFormat="false" ht="15" hidden="false" customHeight="false" outlineLevel="0" collapsed="false">
      <c r="A1353" s="92" t="str">
        <f aca="false">Gov_Map!$H597&amp;""</f>
        <v>—</v>
      </c>
      <c r="B1353" s="73" t="s">
        <v>8482</v>
      </c>
      <c r="C1353" s="60" t="n">
        <v>597</v>
      </c>
      <c r="D1353" s="60" t="s">
        <v>8483</v>
      </c>
      <c r="E1353" s="60" t="s">
        <v>8483</v>
      </c>
      <c r="F1353" s="61" t="s">
        <v>620</v>
      </c>
    </row>
    <row r="1354" customFormat="false" ht="15" hidden="false" customHeight="false" outlineLevel="0" collapsed="false">
      <c r="A1354" s="92" t="str">
        <f aca="false">Gov_Map!$H598&amp;""</f>
        <v>—</v>
      </c>
      <c r="B1354" s="73" t="s">
        <v>8482</v>
      </c>
      <c r="C1354" s="60" t="n">
        <v>598</v>
      </c>
      <c r="D1354" s="60" t="s">
        <v>8483</v>
      </c>
      <c r="E1354" s="60" t="s">
        <v>8483</v>
      </c>
      <c r="F1354" s="61" t="s">
        <v>620</v>
      </c>
    </row>
    <row r="1355" customFormat="false" ht="15" hidden="false" customHeight="false" outlineLevel="0" collapsed="false">
      <c r="A1355" s="92" t="str">
        <f aca="false">Gov_Map!$H599&amp;""</f>
        <v>SRC_PERF_056</v>
      </c>
      <c r="B1355" s="73" t="s">
        <v>8482</v>
      </c>
      <c r="C1355" s="60" t="n">
        <v>599</v>
      </c>
      <c r="D1355" s="60" t="s">
        <v>8483</v>
      </c>
      <c r="E1355" s="60" t="s">
        <v>8483</v>
      </c>
      <c r="F1355" s="61" t="s">
        <v>620</v>
      </c>
    </row>
    <row r="1356" customFormat="false" ht="15" hidden="false" customHeight="false" outlineLevel="0" collapsed="false">
      <c r="A1356" s="92" t="str">
        <f aca="false">Gov_Map!$H600&amp;""</f>
        <v>—</v>
      </c>
      <c r="B1356" s="73" t="s">
        <v>8482</v>
      </c>
      <c r="C1356" s="60" t="n">
        <v>600</v>
      </c>
      <c r="D1356" s="60" t="s">
        <v>8483</v>
      </c>
      <c r="E1356" s="60" t="s">
        <v>8483</v>
      </c>
      <c r="F1356" s="61" t="s">
        <v>620</v>
      </c>
    </row>
    <row r="1357" customFormat="false" ht="15" hidden="false" customHeight="false" outlineLevel="0" collapsed="false">
      <c r="A1357" s="92" t="str">
        <f aca="false">Gov_Map!$H601&amp;""</f>
        <v>—</v>
      </c>
      <c r="B1357" s="73" t="s">
        <v>8482</v>
      </c>
      <c r="C1357" s="60" t="n">
        <v>601</v>
      </c>
      <c r="D1357" s="60" t="s">
        <v>8483</v>
      </c>
      <c r="E1357" s="60" t="s">
        <v>8483</v>
      </c>
      <c r="F1357" s="61" t="s">
        <v>620</v>
      </c>
    </row>
    <row r="1358" customFormat="false" ht="15" hidden="false" customHeight="false" outlineLevel="0" collapsed="false">
      <c r="A1358" s="92" t="str">
        <f aca="false">Gov_Map!$H602&amp;""</f>
        <v>—</v>
      </c>
      <c r="B1358" s="73" t="s">
        <v>8482</v>
      </c>
      <c r="C1358" s="60" t="n">
        <v>602</v>
      </c>
      <c r="D1358" s="60" t="s">
        <v>8483</v>
      </c>
      <c r="E1358" s="60" t="s">
        <v>8483</v>
      </c>
      <c r="F1358" s="61" t="s">
        <v>620</v>
      </c>
    </row>
    <row r="1359" customFormat="false" ht="15" hidden="false" customHeight="false" outlineLevel="0" collapsed="false">
      <c r="A1359" s="92" t="str">
        <f aca="false">Gov_Map!$H603&amp;""</f>
        <v>—</v>
      </c>
      <c r="B1359" s="73" t="s">
        <v>8482</v>
      </c>
      <c r="C1359" s="60" t="n">
        <v>603</v>
      </c>
      <c r="D1359" s="60" t="s">
        <v>8483</v>
      </c>
      <c r="E1359" s="60" t="s">
        <v>8483</v>
      </c>
      <c r="F1359" s="61" t="s">
        <v>620</v>
      </c>
    </row>
    <row r="1360" customFormat="false" ht="15" hidden="false" customHeight="false" outlineLevel="0" collapsed="false">
      <c r="A1360" s="92" t="str">
        <f aca="false">Gov_Map!$H604&amp;""</f>
        <v>—</v>
      </c>
      <c r="B1360" s="73" t="s">
        <v>8482</v>
      </c>
      <c r="C1360" s="60" t="n">
        <v>604</v>
      </c>
      <c r="D1360" s="60" t="s">
        <v>8483</v>
      </c>
      <c r="E1360" s="60" t="s">
        <v>8483</v>
      </c>
      <c r="F1360" s="61" t="s">
        <v>620</v>
      </c>
    </row>
    <row r="1361" customFormat="false" ht="15" hidden="false" customHeight="false" outlineLevel="0" collapsed="false">
      <c r="A1361" s="92" t="str">
        <f aca="false">Gov_Map!$H605&amp;""</f>
        <v>SRC_DC_015</v>
      </c>
      <c r="B1361" s="73" t="s">
        <v>8482</v>
      </c>
      <c r="C1361" s="60" t="n">
        <v>605</v>
      </c>
      <c r="D1361" s="60" t="s">
        <v>8483</v>
      </c>
      <c r="E1361" s="60" t="s">
        <v>8483</v>
      </c>
      <c r="F1361" s="61" t="s">
        <v>620</v>
      </c>
    </row>
    <row r="1362" customFormat="false" ht="15" hidden="false" customHeight="false" outlineLevel="0" collapsed="false">
      <c r="A1362" s="92" t="str">
        <f aca="false">Gov_Map!$H606&amp;""</f>
        <v>SRC_DC_015</v>
      </c>
      <c r="B1362" s="73" t="s">
        <v>8482</v>
      </c>
      <c r="C1362" s="60" t="n">
        <v>606</v>
      </c>
      <c r="D1362" s="60" t="s">
        <v>8483</v>
      </c>
      <c r="E1362" s="60" t="s">
        <v>8483</v>
      </c>
      <c r="F1362" s="61" t="s">
        <v>620</v>
      </c>
    </row>
    <row r="1363" customFormat="false" ht="15" hidden="false" customHeight="false" outlineLevel="0" collapsed="false">
      <c r="A1363" s="92" t="str">
        <f aca="false">Gov_Map!$H607&amp;""</f>
        <v>SRC_DC_015</v>
      </c>
      <c r="B1363" s="73" t="s">
        <v>8482</v>
      </c>
      <c r="C1363" s="60" t="n">
        <v>607</v>
      </c>
      <c r="D1363" s="60" t="s">
        <v>8483</v>
      </c>
      <c r="E1363" s="60" t="s">
        <v>8483</v>
      </c>
      <c r="F1363" s="61" t="s">
        <v>620</v>
      </c>
    </row>
    <row r="1364" customFormat="false" ht="15" hidden="false" customHeight="false" outlineLevel="0" collapsed="false">
      <c r="A1364" s="92" t="str">
        <f aca="false">Gov_Map!$H608&amp;""</f>
        <v>SRC_DC_015</v>
      </c>
      <c r="B1364" s="73" t="s">
        <v>8482</v>
      </c>
      <c r="C1364" s="60" t="n">
        <v>608</v>
      </c>
      <c r="D1364" s="60" t="s">
        <v>8483</v>
      </c>
      <c r="E1364" s="60" t="s">
        <v>8483</v>
      </c>
      <c r="F1364" s="61" t="s">
        <v>620</v>
      </c>
    </row>
    <row r="1365" customFormat="false" ht="15" hidden="false" customHeight="false" outlineLevel="0" collapsed="false">
      <c r="A1365" s="92" t="str">
        <f aca="false">Gov_Map!$H609&amp;""</f>
        <v>SRC_DC_017</v>
      </c>
      <c r="B1365" s="73" t="s">
        <v>8482</v>
      </c>
      <c r="C1365" s="60" t="n">
        <v>609</v>
      </c>
      <c r="D1365" s="60" t="s">
        <v>8483</v>
      </c>
      <c r="E1365" s="60" t="s">
        <v>8483</v>
      </c>
      <c r="F1365" s="61" t="s">
        <v>620</v>
      </c>
    </row>
    <row r="1366" customFormat="false" ht="15" hidden="false" customHeight="false" outlineLevel="0" collapsed="false">
      <c r="A1366" s="92" t="str">
        <f aca="false">Gov_Map!$H610&amp;""</f>
        <v>SRC_DC_017</v>
      </c>
      <c r="B1366" s="73" t="s">
        <v>8482</v>
      </c>
      <c r="C1366" s="60" t="n">
        <v>610</v>
      </c>
      <c r="D1366" s="60" t="s">
        <v>8483</v>
      </c>
      <c r="E1366" s="60" t="s">
        <v>8483</v>
      </c>
      <c r="F1366" s="61" t="s">
        <v>620</v>
      </c>
    </row>
    <row r="1367" customFormat="false" ht="15" hidden="false" customHeight="false" outlineLevel="0" collapsed="false">
      <c r="A1367" s="92" t="str">
        <f aca="false">Gov_Map!$H611&amp;""</f>
        <v>SRC_DC_017</v>
      </c>
      <c r="B1367" s="73" t="s">
        <v>8482</v>
      </c>
      <c r="C1367" s="60" t="n">
        <v>611</v>
      </c>
      <c r="D1367" s="60" t="s">
        <v>8483</v>
      </c>
      <c r="E1367" s="60" t="s">
        <v>8483</v>
      </c>
      <c r="F1367" s="61" t="s">
        <v>620</v>
      </c>
    </row>
    <row r="1368" customFormat="false" ht="15" hidden="false" customHeight="false" outlineLevel="0" collapsed="false">
      <c r="A1368" s="92" t="str">
        <f aca="false">Gov_Map!$H612&amp;""</f>
        <v>SRC_DEM_039</v>
      </c>
      <c r="B1368" s="73" t="s">
        <v>8482</v>
      </c>
      <c r="C1368" s="60" t="n">
        <v>612</v>
      </c>
      <c r="D1368" s="60" t="s">
        <v>8483</v>
      </c>
      <c r="E1368" s="60" t="s">
        <v>8483</v>
      </c>
      <c r="F1368" s="61" t="s">
        <v>620</v>
      </c>
    </row>
    <row r="1369" customFormat="false" ht="15" hidden="false" customHeight="false" outlineLevel="0" collapsed="false">
      <c r="A1369" s="92" t="str">
        <f aca="false">Gov_Map!$H613&amp;""</f>
        <v>—</v>
      </c>
      <c r="B1369" s="73" t="s">
        <v>8482</v>
      </c>
      <c r="C1369" s="60" t="n">
        <v>613</v>
      </c>
      <c r="D1369" s="60" t="s">
        <v>8483</v>
      </c>
      <c r="E1369" s="60" t="s">
        <v>8483</v>
      </c>
      <c r="F1369" s="61" t="s">
        <v>620</v>
      </c>
    </row>
    <row r="1370" customFormat="false" ht="15" hidden="false" customHeight="false" outlineLevel="0" collapsed="false">
      <c r="A1370" s="92" t="str">
        <f aca="false">Gov_Map!$H614&amp;""</f>
        <v>—</v>
      </c>
      <c r="B1370" s="73" t="s">
        <v>8482</v>
      </c>
      <c r="C1370" s="60" t="n">
        <v>614</v>
      </c>
      <c r="D1370" s="60" t="s">
        <v>8483</v>
      </c>
      <c r="E1370" s="60" t="s">
        <v>8483</v>
      </c>
      <c r="F1370" s="61" t="s">
        <v>620</v>
      </c>
    </row>
    <row r="1371" customFormat="false" ht="15" hidden="false" customHeight="false" outlineLevel="0" collapsed="false">
      <c r="A1371" s="92" t="str">
        <f aca="false">Gov_Map!$H615&amp;""</f>
        <v>—</v>
      </c>
      <c r="B1371" s="73" t="s">
        <v>8482</v>
      </c>
      <c r="C1371" s="60" t="n">
        <v>615</v>
      </c>
      <c r="D1371" s="60" t="s">
        <v>8483</v>
      </c>
      <c r="E1371" s="60" t="s">
        <v>8483</v>
      </c>
      <c r="F1371" s="61" t="s">
        <v>620</v>
      </c>
    </row>
    <row r="1372" customFormat="false" ht="15" hidden="false" customHeight="false" outlineLevel="0" collapsed="false">
      <c r="A1372" s="92" t="str">
        <f aca="false">Gov_Map!$H616&amp;""</f>
        <v>SRC_DEM_051</v>
      </c>
      <c r="B1372" s="73" t="s">
        <v>8482</v>
      </c>
      <c r="C1372" s="60" t="n">
        <v>616</v>
      </c>
      <c r="D1372" s="60" t="s">
        <v>8483</v>
      </c>
      <c r="E1372" s="60" t="s">
        <v>8483</v>
      </c>
      <c r="F1372" s="61" t="s">
        <v>620</v>
      </c>
    </row>
    <row r="1373" customFormat="false" ht="15" hidden="false" customHeight="false" outlineLevel="0" collapsed="false">
      <c r="A1373" s="92" t="str">
        <f aca="false">Gov_Map!$H617&amp;""</f>
        <v>—</v>
      </c>
      <c r="B1373" s="73" t="s">
        <v>8482</v>
      </c>
      <c r="C1373" s="60" t="n">
        <v>617</v>
      </c>
      <c r="D1373" s="60" t="s">
        <v>8483</v>
      </c>
      <c r="E1373" s="60" t="s">
        <v>8483</v>
      </c>
      <c r="F1373" s="61" t="s">
        <v>620</v>
      </c>
    </row>
    <row r="1374" customFormat="false" ht="15" hidden="false" customHeight="false" outlineLevel="0" collapsed="false">
      <c r="A1374" s="92" t="str">
        <f aca="false">Gov_Map!$H618&amp;""</f>
        <v>SRC_DEM_071</v>
      </c>
      <c r="B1374" s="73" t="s">
        <v>8482</v>
      </c>
      <c r="C1374" s="60" t="n">
        <v>618</v>
      </c>
      <c r="D1374" s="60" t="s">
        <v>8483</v>
      </c>
      <c r="E1374" s="60" t="s">
        <v>8483</v>
      </c>
      <c r="F1374" s="61" t="s">
        <v>620</v>
      </c>
    </row>
    <row r="1375" customFormat="false" ht="15" hidden="false" customHeight="false" outlineLevel="0" collapsed="false">
      <c r="A1375" s="92" t="str">
        <f aca="false">Gov_Map!$H619&amp;""</f>
        <v>—</v>
      </c>
      <c r="B1375" s="73" t="s">
        <v>8482</v>
      </c>
      <c r="C1375" s="60" t="n">
        <v>619</v>
      </c>
      <c r="D1375" s="60" t="s">
        <v>8483</v>
      </c>
      <c r="E1375" s="60" t="s">
        <v>8483</v>
      </c>
      <c r="F1375" s="61" t="s">
        <v>620</v>
      </c>
    </row>
    <row r="1376" customFormat="false" ht="15" hidden="false" customHeight="false" outlineLevel="0" collapsed="false">
      <c r="A1376" s="92" t="str">
        <f aca="false">Gov_Map!$H620&amp;""</f>
        <v>—</v>
      </c>
      <c r="B1376" s="73" t="s">
        <v>8482</v>
      </c>
      <c r="C1376" s="60" t="n">
        <v>620</v>
      </c>
      <c r="D1376" s="60" t="s">
        <v>8483</v>
      </c>
      <c r="E1376" s="60" t="s">
        <v>8483</v>
      </c>
      <c r="F1376" s="61" t="s">
        <v>620</v>
      </c>
    </row>
    <row r="1377" customFormat="false" ht="15" hidden="false" customHeight="false" outlineLevel="0" collapsed="false">
      <c r="A1377" s="92" t="str">
        <f aca="false">Gov_Map!$H621&amp;""</f>
        <v>—</v>
      </c>
      <c r="B1377" s="73" t="s">
        <v>8482</v>
      </c>
      <c r="C1377" s="60" t="n">
        <v>621</v>
      </c>
      <c r="D1377" s="60" t="s">
        <v>8483</v>
      </c>
      <c r="E1377" s="60" t="s">
        <v>8483</v>
      </c>
      <c r="F1377" s="61" t="s">
        <v>620</v>
      </c>
    </row>
    <row r="1378" customFormat="false" ht="15" hidden="false" customHeight="false" outlineLevel="0" collapsed="false">
      <c r="A1378" s="92" t="str">
        <f aca="false">Gov_Map!$H622&amp;""</f>
        <v>—</v>
      </c>
      <c r="B1378" s="73" t="s">
        <v>8482</v>
      </c>
      <c r="C1378" s="60" t="n">
        <v>622</v>
      </c>
      <c r="D1378" s="60" t="s">
        <v>8483</v>
      </c>
      <c r="E1378" s="60" t="s">
        <v>8483</v>
      </c>
      <c r="F1378" s="61" t="s">
        <v>620</v>
      </c>
    </row>
    <row r="1379" customFormat="false" ht="15" hidden="false" customHeight="false" outlineLevel="0" collapsed="false">
      <c r="A1379" s="92" t="str">
        <f aca="false">Gov_Map!$H623&amp;""</f>
        <v>—</v>
      </c>
      <c r="B1379" s="73" t="s">
        <v>8482</v>
      </c>
      <c r="C1379" s="60" t="n">
        <v>623</v>
      </c>
      <c r="D1379" s="60" t="s">
        <v>8483</v>
      </c>
      <c r="E1379" s="60" t="s">
        <v>8483</v>
      </c>
      <c r="F1379" s="61" t="s">
        <v>620</v>
      </c>
    </row>
    <row r="1380" customFormat="false" ht="15" hidden="false" customHeight="false" outlineLevel="0" collapsed="false">
      <c r="A1380" s="92" t="str">
        <f aca="false">Gov_Map!$H624&amp;""</f>
        <v>—</v>
      </c>
      <c r="B1380" s="73" t="s">
        <v>8482</v>
      </c>
      <c r="C1380" s="60" t="n">
        <v>624</v>
      </c>
      <c r="D1380" s="60" t="s">
        <v>8483</v>
      </c>
      <c r="E1380" s="60" t="s">
        <v>8483</v>
      </c>
      <c r="F1380" s="61" t="s">
        <v>620</v>
      </c>
    </row>
    <row r="1381" customFormat="false" ht="15" hidden="false" customHeight="false" outlineLevel="0" collapsed="false">
      <c r="A1381" s="92" t="str">
        <f aca="false">Gov_Map!$H625&amp;""</f>
        <v>—</v>
      </c>
      <c r="B1381" s="73" t="s">
        <v>8482</v>
      </c>
      <c r="C1381" s="60" t="n">
        <v>625</v>
      </c>
      <c r="D1381" s="60" t="s">
        <v>8483</v>
      </c>
      <c r="E1381" s="60" t="s">
        <v>8483</v>
      </c>
      <c r="F1381" s="61" t="s">
        <v>620</v>
      </c>
    </row>
    <row r="1382" customFormat="false" ht="15" hidden="false" customHeight="false" outlineLevel="0" collapsed="false">
      <c r="A1382" s="92" t="str">
        <f aca="false">Gov_Map!$H626&amp;""</f>
        <v>—</v>
      </c>
      <c r="B1382" s="73" t="s">
        <v>8482</v>
      </c>
      <c r="C1382" s="60" t="n">
        <v>626</v>
      </c>
      <c r="D1382" s="60" t="s">
        <v>8483</v>
      </c>
      <c r="E1382" s="60" t="s">
        <v>8483</v>
      </c>
      <c r="F1382" s="61" t="s">
        <v>620</v>
      </c>
    </row>
    <row r="1383" customFormat="false" ht="15" hidden="false" customHeight="false" outlineLevel="0" collapsed="false">
      <c r="A1383" s="92" t="str">
        <f aca="false">Gov_Map!$H627&amp;""</f>
        <v>—</v>
      </c>
      <c r="B1383" s="73" t="s">
        <v>8482</v>
      </c>
      <c r="C1383" s="60" t="n">
        <v>627</v>
      </c>
      <c r="D1383" s="60" t="s">
        <v>8483</v>
      </c>
      <c r="E1383" s="60" t="s">
        <v>8483</v>
      </c>
      <c r="F1383" s="61" t="s">
        <v>620</v>
      </c>
    </row>
    <row r="1384" customFormat="false" ht="15" hidden="false" customHeight="false" outlineLevel="0" collapsed="false">
      <c r="A1384" s="92" t="str">
        <f aca="false">Gov_Map!$H628&amp;""</f>
        <v>SRC_DEM_042</v>
      </c>
      <c r="B1384" s="73" t="s">
        <v>8482</v>
      </c>
      <c r="C1384" s="60" t="n">
        <v>628</v>
      </c>
      <c r="D1384" s="60" t="s">
        <v>8483</v>
      </c>
      <c r="E1384" s="60" t="s">
        <v>8483</v>
      </c>
      <c r="F1384" s="61" t="s">
        <v>620</v>
      </c>
    </row>
    <row r="1385" customFormat="false" ht="15" hidden="false" customHeight="false" outlineLevel="0" collapsed="false">
      <c r="A1385" s="92" t="str">
        <f aca="false">Gov_Map!$H629&amp;""</f>
        <v>SRC_DEM_023</v>
      </c>
      <c r="B1385" s="73" t="s">
        <v>8482</v>
      </c>
      <c r="C1385" s="60" t="n">
        <v>629</v>
      </c>
      <c r="D1385" s="60" t="s">
        <v>8483</v>
      </c>
      <c r="E1385" s="60" t="s">
        <v>8483</v>
      </c>
      <c r="F1385" s="61" t="s">
        <v>620</v>
      </c>
    </row>
    <row r="1386" customFormat="false" ht="15" hidden="false" customHeight="false" outlineLevel="0" collapsed="false">
      <c r="A1386" s="92" t="str">
        <f aca="false">Gov_Map!$H630&amp;""</f>
        <v>SRC_DEM_071</v>
      </c>
      <c r="B1386" s="73" t="s">
        <v>8482</v>
      </c>
      <c r="C1386" s="60" t="n">
        <v>630</v>
      </c>
      <c r="D1386" s="60" t="s">
        <v>8483</v>
      </c>
      <c r="E1386" s="60" t="s">
        <v>8483</v>
      </c>
      <c r="F1386" s="61" t="s">
        <v>620</v>
      </c>
    </row>
    <row r="1387" customFormat="false" ht="15" hidden="false" customHeight="false" outlineLevel="0" collapsed="false">
      <c r="A1387" s="92" t="str">
        <f aca="false">Gov_Map!$H631&amp;""</f>
        <v>SRC_DEM_011</v>
      </c>
      <c r="B1387" s="73" t="s">
        <v>8482</v>
      </c>
      <c r="C1387" s="60" t="n">
        <v>631</v>
      </c>
      <c r="D1387" s="60" t="s">
        <v>8483</v>
      </c>
      <c r="E1387" s="60" t="s">
        <v>8483</v>
      </c>
      <c r="F1387" s="61" t="s">
        <v>620</v>
      </c>
    </row>
    <row r="1388" customFormat="false" ht="15" hidden="false" customHeight="false" outlineLevel="0" collapsed="false">
      <c r="A1388" s="92" t="str">
        <f aca="false">Gov_Map!$H632&amp;""</f>
        <v>SRC_DEM_012</v>
      </c>
      <c r="B1388" s="73" t="s">
        <v>8482</v>
      </c>
      <c r="C1388" s="60" t="n">
        <v>632</v>
      </c>
      <c r="D1388" s="60" t="s">
        <v>8483</v>
      </c>
      <c r="E1388" s="60" t="s">
        <v>8483</v>
      </c>
      <c r="F1388" s="61" t="s">
        <v>620</v>
      </c>
    </row>
    <row r="1389" customFormat="false" ht="15" hidden="false" customHeight="false" outlineLevel="0" collapsed="false">
      <c r="A1389" s="92" t="str">
        <f aca="false">Gov_Map!$H633&amp;""</f>
        <v>—</v>
      </c>
      <c r="B1389" s="73" t="s">
        <v>8482</v>
      </c>
      <c r="C1389" s="60" t="n">
        <v>633</v>
      </c>
      <c r="D1389" s="60" t="s">
        <v>8483</v>
      </c>
      <c r="E1389" s="60" t="s">
        <v>8483</v>
      </c>
      <c r="F1389" s="61" t="s">
        <v>620</v>
      </c>
    </row>
    <row r="1390" customFormat="false" ht="15" hidden="false" customHeight="false" outlineLevel="0" collapsed="false">
      <c r="A1390" s="92" t="str">
        <f aca="false">Gov_Map!$H634&amp;""</f>
        <v>—</v>
      </c>
      <c r="B1390" s="73" t="s">
        <v>8482</v>
      </c>
      <c r="C1390" s="60" t="n">
        <v>634</v>
      </c>
      <c r="D1390" s="60" t="s">
        <v>8483</v>
      </c>
      <c r="E1390" s="60" t="s">
        <v>8483</v>
      </c>
      <c r="F1390" s="61" t="s">
        <v>620</v>
      </c>
    </row>
    <row r="1391" customFormat="false" ht="15" hidden="false" customHeight="false" outlineLevel="0" collapsed="false">
      <c r="A1391" s="92" t="str">
        <f aca="false">Gov_Map!$H635&amp;""</f>
        <v>—</v>
      </c>
      <c r="B1391" s="73" t="s">
        <v>8482</v>
      </c>
      <c r="C1391" s="60" t="n">
        <v>635</v>
      </c>
      <c r="D1391" s="60" t="s">
        <v>8483</v>
      </c>
      <c r="E1391" s="60" t="s">
        <v>8483</v>
      </c>
      <c r="F1391" s="61" t="s">
        <v>620</v>
      </c>
    </row>
    <row r="1392" customFormat="false" ht="15" hidden="false" customHeight="false" outlineLevel="0" collapsed="false">
      <c r="A1392" s="92" t="str">
        <f aca="false">Gov_Map!$H636&amp;""</f>
        <v>—</v>
      </c>
      <c r="B1392" s="73" t="s">
        <v>8482</v>
      </c>
      <c r="C1392" s="60" t="n">
        <v>636</v>
      </c>
      <c r="D1392" s="60" t="s">
        <v>8483</v>
      </c>
      <c r="E1392" s="60" t="s">
        <v>8483</v>
      </c>
      <c r="F1392" s="61" t="s">
        <v>620</v>
      </c>
    </row>
    <row r="1393" customFormat="false" ht="15" hidden="false" customHeight="false" outlineLevel="0" collapsed="false">
      <c r="A1393" s="92" t="str">
        <f aca="false">Gov_Map!$H637&amp;""</f>
        <v>—</v>
      </c>
      <c r="B1393" s="73" t="s">
        <v>8482</v>
      </c>
      <c r="C1393" s="60" t="n">
        <v>637</v>
      </c>
      <c r="D1393" s="60" t="s">
        <v>8483</v>
      </c>
      <c r="E1393" s="60" t="s">
        <v>8483</v>
      </c>
      <c r="F1393" s="61" t="s">
        <v>620</v>
      </c>
    </row>
    <row r="1394" customFormat="false" ht="15" hidden="false" customHeight="false" outlineLevel="0" collapsed="false">
      <c r="A1394" s="92" t="str">
        <f aca="false">Gov_Map!$H638&amp;""</f>
        <v>—</v>
      </c>
      <c r="B1394" s="73" t="s">
        <v>8482</v>
      </c>
      <c r="C1394" s="60" t="n">
        <v>638</v>
      </c>
      <c r="D1394" s="60" t="s">
        <v>8483</v>
      </c>
      <c r="E1394" s="60" t="s">
        <v>8483</v>
      </c>
      <c r="F1394" s="61" t="s">
        <v>620</v>
      </c>
    </row>
    <row r="1395" customFormat="false" ht="15" hidden="false" customHeight="false" outlineLevel="0" collapsed="false">
      <c r="A1395" s="92" t="str">
        <f aca="false">Gov_Map!$H639&amp;""</f>
        <v>—</v>
      </c>
      <c r="B1395" s="73" t="s">
        <v>8482</v>
      </c>
      <c r="C1395" s="60" t="n">
        <v>639</v>
      </c>
      <c r="D1395" s="60" t="s">
        <v>8483</v>
      </c>
      <c r="E1395" s="60" t="s">
        <v>8483</v>
      </c>
      <c r="F1395" s="61" t="s">
        <v>620</v>
      </c>
    </row>
    <row r="1396" customFormat="false" ht="15" hidden="false" customHeight="false" outlineLevel="0" collapsed="false">
      <c r="A1396" s="92" t="str">
        <f aca="false">Gov_Map!$H640&amp;""</f>
        <v>—</v>
      </c>
      <c r="B1396" s="73" t="s">
        <v>8482</v>
      </c>
      <c r="C1396" s="60" t="n">
        <v>640</v>
      </c>
      <c r="D1396" s="60" t="s">
        <v>8483</v>
      </c>
      <c r="E1396" s="60" t="s">
        <v>8483</v>
      </c>
      <c r="F1396" s="61" t="s">
        <v>620</v>
      </c>
    </row>
    <row r="1397" customFormat="false" ht="15" hidden="false" customHeight="false" outlineLevel="0" collapsed="false">
      <c r="A1397" s="92" t="str">
        <f aca="false">Gov_Map!$H641&amp;""</f>
        <v>—</v>
      </c>
      <c r="B1397" s="73" t="s">
        <v>8482</v>
      </c>
      <c r="C1397" s="60" t="n">
        <v>641</v>
      </c>
      <c r="D1397" s="60" t="s">
        <v>8483</v>
      </c>
      <c r="E1397" s="60" t="s">
        <v>8483</v>
      </c>
      <c r="F1397" s="61" t="s">
        <v>620</v>
      </c>
    </row>
    <row r="1398" customFormat="false" ht="15" hidden="false" customHeight="false" outlineLevel="0" collapsed="false">
      <c r="A1398" s="92" t="str">
        <f aca="false">Gov_Map!$H642&amp;""</f>
        <v>—</v>
      </c>
      <c r="B1398" s="73" t="s">
        <v>8482</v>
      </c>
      <c r="C1398" s="60" t="n">
        <v>642</v>
      </c>
      <c r="D1398" s="60" t="s">
        <v>8483</v>
      </c>
      <c r="E1398" s="60" t="s">
        <v>8483</v>
      </c>
      <c r="F1398" s="61" t="s">
        <v>620</v>
      </c>
    </row>
    <row r="1399" customFormat="false" ht="15" hidden="false" customHeight="false" outlineLevel="0" collapsed="false">
      <c r="A1399" s="92" t="str">
        <f aca="false">Gov_Map!$H643&amp;""</f>
        <v>—</v>
      </c>
      <c r="B1399" s="73" t="s">
        <v>8482</v>
      </c>
      <c r="C1399" s="60" t="n">
        <v>643</v>
      </c>
      <c r="D1399" s="60" t="s">
        <v>8483</v>
      </c>
      <c r="E1399" s="60" t="s">
        <v>8483</v>
      </c>
      <c r="F1399" s="61" t="s">
        <v>620</v>
      </c>
    </row>
    <row r="1400" customFormat="false" ht="15" hidden="false" customHeight="false" outlineLevel="0" collapsed="false">
      <c r="A1400" s="92" t="str">
        <f aca="false">Gov_Map!$H644&amp;""</f>
        <v>SRC_DEM_072</v>
      </c>
      <c r="B1400" s="73" t="s">
        <v>8482</v>
      </c>
      <c r="C1400" s="60" t="n">
        <v>644</v>
      </c>
      <c r="D1400" s="60" t="s">
        <v>8483</v>
      </c>
      <c r="E1400" s="60" t="s">
        <v>8483</v>
      </c>
      <c r="F1400" s="61" t="s">
        <v>620</v>
      </c>
    </row>
    <row r="1401" customFormat="false" ht="15" hidden="false" customHeight="false" outlineLevel="0" collapsed="false">
      <c r="A1401" s="92" t="str">
        <f aca="false">Gov_Map!$H645&amp;""</f>
        <v>SRC_DEM_072</v>
      </c>
      <c r="B1401" s="73" t="s">
        <v>8482</v>
      </c>
      <c r="C1401" s="60" t="n">
        <v>645</v>
      </c>
      <c r="D1401" s="60" t="s">
        <v>8483</v>
      </c>
      <c r="E1401" s="60" t="s">
        <v>8483</v>
      </c>
      <c r="F1401" s="61" t="s">
        <v>620</v>
      </c>
    </row>
    <row r="1402" customFormat="false" ht="15" hidden="false" customHeight="false" outlineLevel="0" collapsed="false">
      <c r="A1402" s="92" t="str">
        <f aca="false">Gov_Map!$H646&amp;""</f>
        <v>SRC_DEM_072</v>
      </c>
      <c r="B1402" s="73" t="s">
        <v>8482</v>
      </c>
      <c r="C1402" s="60" t="n">
        <v>646</v>
      </c>
      <c r="D1402" s="60" t="s">
        <v>8483</v>
      </c>
      <c r="E1402" s="60" t="s">
        <v>8483</v>
      </c>
      <c r="F1402" s="61" t="s">
        <v>620</v>
      </c>
    </row>
    <row r="1403" customFormat="false" ht="15" hidden="false" customHeight="false" outlineLevel="0" collapsed="false">
      <c r="A1403" s="92" t="str">
        <f aca="false">Gov_Map!$H647&amp;""</f>
        <v>—</v>
      </c>
      <c r="B1403" s="73" t="s">
        <v>8482</v>
      </c>
      <c r="C1403" s="60" t="n">
        <v>647</v>
      </c>
      <c r="D1403" s="60" t="s">
        <v>8483</v>
      </c>
      <c r="E1403" s="60" t="s">
        <v>8483</v>
      </c>
      <c r="F1403" s="61" t="s">
        <v>620</v>
      </c>
    </row>
    <row r="1404" customFormat="false" ht="15" hidden="false" customHeight="false" outlineLevel="0" collapsed="false">
      <c r="A1404" s="92" t="str">
        <f aca="false">Gov_Map!$H648&amp;""</f>
        <v>—</v>
      </c>
      <c r="B1404" s="73" t="s">
        <v>8482</v>
      </c>
      <c r="C1404" s="60" t="n">
        <v>648</v>
      </c>
      <c r="D1404" s="60" t="s">
        <v>8483</v>
      </c>
      <c r="E1404" s="60" t="s">
        <v>8483</v>
      </c>
      <c r="F1404" s="61" t="s">
        <v>620</v>
      </c>
    </row>
    <row r="1405" customFormat="false" ht="15" hidden="false" customHeight="false" outlineLevel="0" collapsed="false">
      <c r="A1405" s="92" t="str">
        <f aca="false">Gov_Map!$H649&amp;""</f>
        <v>—</v>
      </c>
      <c r="B1405" s="73" t="s">
        <v>8482</v>
      </c>
      <c r="C1405" s="60" t="n">
        <v>649</v>
      </c>
      <c r="D1405" s="60" t="s">
        <v>8483</v>
      </c>
      <c r="E1405" s="60" t="s">
        <v>8483</v>
      </c>
      <c r="F1405" s="61" t="s">
        <v>620</v>
      </c>
    </row>
    <row r="1406" customFormat="false" ht="15" hidden="false" customHeight="false" outlineLevel="0" collapsed="false">
      <c r="A1406" s="92" t="str">
        <f aca="false">Gov_Map!$H650&amp;""</f>
        <v>—</v>
      </c>
      <c r="B1406" s="73" t="s">
        <v>8482</v>
      </c>
      <c r="C1406" s="60" t="n">
        <v>650</v>
      </c>
      <c r="D1406" s="60" t="s">
        <v>8483</v>
      </c>
      <c r="E1406" s="60" t="s">
        <v>8483</v>
      </c>
      <c r="F1406" s="61" t="s">
        <v>620</v>
      </c>
    </row>
    <row r="1407" customFormat="false" ht="15" hidden="false" customHeight="false" outlineLevel="0" collapsed="false">
      <c r="A1407" s="92" t="str">
        <f aca="false">Gov_Map!$H651&amp;""</f>
        <v>—</v>
      </c>
      <c r="B1407" s="73" t="s">
        <v>8482</v>
      </c>
      <c r="C1407" s="60" t="n">
        <v>651</v>
      </c>
      <c r="D1407" s="60" t="s">
        <v>8483</v>
      </c>
      <c r="E1407" s="60" t="s">
        <v>8483</v>
      </c>
      <c r="F1407" s="61" t="s">
        <v>620</v>
      </c>
    </row>
    <row r="1408" customFormat="false" ht="15" hidden="false" customHeight="false" outlineLevel="0" collapsed="false">
      <c r="A1408" s="92" t="str">
        <f aca="false">Gov_Map!$H652&amp;""</f>
        <v>—</v>
      </c>
      <c r="B1408" s="73" t="s">
        <v>8482</v>
      </c>
      <c r="C1408" s="60" t="n">
        <v>652</v>
      </c>
      <c r="D1408" s="60" t="s">
        <v>8483</v>
      </c>
      <c r="E1408" s="60" t="s">
        <v>8483</v>
      </c>
      <c r="F1408" s="61" t="s">
        <v>620</v>
      </c>
    </row>
    <row r="1409" customFormat="false" ht="15" hidden="false" customHeight="false" outlineLevel="0" collapsed="false">
      <c r="A1409" s="92" t="str">
        <f aca="false">Gov_Map!$H653&amp;""</f>
        <v>—</v>
      </c>
      <c r="B1409" s="73" t="s">
        <v>8482</v>
      </c>
      <c r="C1409" s="60" t="n">
        <v>653</v>
      </c>
      <c r="D1409" s="60" t="s">
        <v>8483</v>
      </c>
      <c r="E1409" s="60" t="s">
        <v>8483</v>
      </c>
      <c r="F1409" s="61" t="s">
        <v>620</v>
      </c>
    </row>
    <row r="1410" customFormat="false" ht="15" hidden="false" customHeight="false" outlineLevel="0" collapsed="false">
      <c r="A1410" s="92" t="str">
        <f aca="false">Gov_Map!$H654&amp;""</f>
        <v>—</v>
      </c>
      <c r="B1410" s="73" t="s">
        <v>8482</v>
      </c>
      <c r="C1410" s="60" t="n">
        <v>654</v>
      </c>
      <c r="D1410" s="60" t="s">
        <v>8483</v>
      </c>
      <c r="E1410" s="60" t="s">
        <v>8483</v>
      </c>
      <c r="F1410" s="61" t="s">
        <v>620</v>
      </c>
    </row>
    <row r="1411" customFormat="false" ht="15" hidden="false" customHeight="false" outlineLevel="0" collapsed="false">
      <c r="A1411" s="92" t="str">
        <f aca="false">Gov_Map!$H655&amp;""</f>
        <v>—</v>
      </c>
      <c r="B1411" s="73" t="s">
        <v>8482</v>
      </c>
      <c r="C1411" s="60" t="n">
        <v>655</v>
      </c>
      <c r="D1411" s="60" t="s">
        <v>8483</v>
      </c>
      <c r="E1411" s="60" t="s">
        <v>8483</v>
      </c>
      <c r="F1411" s="61" t="s">
        <v>620</v>
      </c>
    </row>
    <row r="1412" customFormat="false" ht="15" hidden="false" customHeight="false" outlineLevel="0" collapsed="false">
      <c r="A1412" s="92" t="str">
        <f aca="false">Gov_Map!$H656&amp;""</f>
        <v>—</v>
      </c>
      <c r="B1412" s="73" t="s">
        <v>8482</v>
      </c>
      <c r="C1412" s="60" t="n">
        <v>656</v>
      </c>
      <c r="D1412" s="60" t="s">
        <v>8483</v>
      </c>
      <c r="E1412" s="60" t="s">
        <v>8483</v>
      </c>
      <c r="F1412" s="61" t="s">
        <v>620</v>
      </c>
    </row>
    <row r="1413" customFormat="false" ht="15" hidden="false" customHeight="false" outlineLevel="0" collapsed="false">
      <c r="A1413" s="92" t="str">
        <f aca="false">Gov_Map!$H657&amp;""</f>
        <v>—</v>
      </c>
      <c r="B1413" s="73" t="s">
        <v>8482</v>
      </c>
      <c r="C1413" s="60" t="n">
        <v>657</v>
      </c>
      <c r="D1413" s="60" t="s">
        <v>8483</v>
      </c>
      <c r="E1413" s="60" t="s">
        <v>8483</v>
      </c>
      <c r="F1413" s="61" t="s">
        <v>620</v>
      </c>
    </row>
    <row r="1414" customFormat="false" ht="15" hidden="false" customHeight="false" outlineLevel="0" collapsed="false">
      <c r="A1414" s="92" t="str">
        <f aca="false">Gov_Map!$H658&amp;""</f>
        <v>—</v>
      </c>
      <c r="B1414" s="73" t="s">
        <v>8482</v>
      </c>
      <c r="C1414" s="60" t="n">
        <v>658</v>
      </c>
      <c r="D1414" s="60" t="s">
        <v>8483</v>
      </c>
      <c r="E1414" s="60" t="s">
        <v>8483</v>
      </c>
      <c r="F1414" s="61" t="s">
        <v>620</v>
      </c>
    </row>
    <row r="1415" customFormat="false" ht="15" hidden="false" customHeight="false" outlineLevel="0" collapsed="false">
      <c r="A1415" s="92" t="str">
        <f aca="false">Gov_Map!$H659&amp;""</f>
        <v>—</v>
      </c>
      <c r="B1415" s="73" t="s">
        <v>8482</v>
      </c>
      <c r="C1415" s="60" t="n">
        <v>659</v>
      </c>
      <c r="D1415" s="60" t="s">
        <v>8483</v>
      </c>
      <c r="E1415" s="60" t="s">
        <v>8483</v>
      </c>
      <c r="F1415" s="61" t="s">
        <v>620</v>
      </c>
    </row>
    <row r="1416" customFormat="false" ht="15" hidden="false" customHeight="false" outlineLevel="0" collapsed="false">
      <c r="A1416" s="92" t="str">
        <f aca="false">Gov_Map!$H660&amp;""</f>
        <v>—</v>
      </c>
      <c r="B1416" s="73" t="s">
        <v>8482</v>
      </c>
      <c r="C1416" s="60" t="n">
        <v>660</v>
      </c>
      <c r="D1416" s="60" t="s">
        <v>8483</v>
      </c>
      <c r="E1416" s="60" t="s">
        <v>8483</v>
      </c>
      <c r="F1416" s="61" t="s">
        <v>620</v>
      </c>
    </row>
    <row r="1417" customFormat="false" ht="15" hidden="false" customHeight="false" outlineLevel="0" collapsed="false">
      <c r="A1417" s="92" t="str">
        <f aca="false">Gov_Map!$H661&amp;""</f>
        <v>—</v>
      </c>
      <c r="B1417" s="73" t="s">
        <v>8482</v>
      </c>
      <c r="C1417" s="60" t="n">
        <v>661</v>
      </c>
      <c r="D1417" s="60" t="s">
        <v>8483</v>
      </c>
      <c r="E1417" s="60" t="s">
        <v>8483</v>
      </c>
      <c r="F1417" s="61" t="s">
        <v>620</v>
      </c>
    </row>
    <row r="1418" customFormat="false" ht="15" hidden="false" customHeight="false" outlineLevel="0" collapsed="false">
      <c r="A1418" s="92" t="str">
        <f aca="false">Gov_Map!$H662&amp;""</f>
        <v>—</v>
      </c>
      <c r="B1418" s="73" t="s">
        <v>8482</v>
      </c>
      <c r="C1418" s="60" t="n">
        <v>662</v>
      </c>
      <c r="D1418" s="60" t="s">
        <v>8483</v>
      </c>
      <c r="E1418" s="60" t="s">
        <v>8483</v>
      </c>
      <c r="F1418" s="61" t="s">
        <v>620</v>
      </c>
    </row>
    <row r="1419" customFormat="false" ht="15" hidden="false" customHeight="false" outlineLevel="0" collapsed="false">
      <c r="A1419" s="92" t="str">
        <f aca="false">Gov_Map!$H663&amp;""</f>
        <v/>
      </c>
      <c r="B1419" s="73" t="s">
        <v>8482</v>
      </c>
      <c r="C1419" s="60" t="n">
        <v>663</v>
      </c>
      <c r="D1419" s="60" t="s">
        <v>8483</v>
      </c>
      <c r="E1419" s="60" t="s">
        <v>8483</v>
      </c>
      <c r="F1419" s="61" t="s">
        <v>620</v>
      </c>
    </row>
    <row r="1420" customFormat="false" ht="15" hidden="false" customHeight="false" outlineLevel="0" collapsed="false">
      <c r="A1420" s="92" t="str">
        <f aca="false">Gov_Map!$H664&amp;""</f>
        <v/>
      </c>
      <c r="B1420" s="73" t="s">
        <v>8482</v>
      </c>
      <c r="C1420" s="60" t="n">
        <v>664</v>
      </c>
      <c r="D1420" s="60" t="s">
        <v>8483</v>
      </c>
      <c r="E1420" s="60" t="s">
        <v>8483</v>
      </c>
      <c r="F1420" s="61" t="s">
        <v>620</v>
      </c>
    </row>
    <row r="1421" customFormat="false" ht="15" hidden="false" customHeight="false" outlineLevel="0" collapsed="false">
      <c r="A1421" s="92" t="str">
        <f aca="false">Gov_Map!$H665&amp;""</f>
        <v/>
      </c>
      <c r="B1421" s="73" t="s">
        <v>8482</v>
      </c>
      <c r="C1421" s="60" t="n">
        <v>665</v>
      </c>
      <c r="D1421" s="60" t="s">
        <v>8483</v>
      </c>
      <c r="E1421" s="60" t="s">
        <v>8483</v>
      </c>
      <c r="F1421" s="61" t="s">
        <v>620</v>
      </c>
    </row>
    <row r="1422" customFormat="false" ht="15" hidden="false" customHeight="false" outlineLevel="0" collapsed="false">
      <c r="A1422" s="92" t="str">
        <f aca="false">Gov_Map!$H666&amp;""</f>
        <v/>
      </c>
      <c r="B1422" s="73" t="s">
        <v>8482</v>
      </c>
      <c r="C1422" s="60" t="n">
        <v>666</v>
      </c>
      <c r="D1422" s="60" t="s">
        <v>8483</v>
      </c>
      <c r="E1422" s="60" t="s">
        <v>8483</v>
      </c>
      <c r="F1422" s="61" t="s">
        <v>620</v>
      </c>
    </row>
    <row r="1423" customFormat="false" ht="15" hidden="false" customHeight="false" outlineLevel="0" collapsed="false">
      <c r="A1423" s="92" t="str">
        <f aca="false">Gov_Map!$H667&amp;""</f>
        <v/>
      </c>
      <c r="B1423" s="73" t="s">
        <v>8482</v>
      </c>
      <c r="C1423" s="60" t="n">
        <v>667</v>
      </c>
      <c r="D1423" s="60" t="s">
        <v>8483</v>
      </c>
      <c r="E1423" s="60" t="s">
        <v>8483</v>
      </c>
      <c r="F1423" s="61" t="s">
        <v>620</v>
      </c>
    </row>
    <row r="1424" customFormat="false" ht="15" hidden="false" customHeight="false" outlineLevel="0" collapsed="false">
      <c r="A1424" s="92" t="str">
        <f aca="false">Gov_Map!$H668&amp;""</f>
        <v/>
      </c>
      <c r="B1424" s="73" t="s">
        <v>8482</v>
      </c>
      <c r="C1424" s="60" t="n">
        <v>668</v>
      </c>
      <c r="D1424" s="60" t="s">
        <v>8483</v>
      </c>
      <c r="E1424" s="60" t="s">
        <v>8483</v>
      </c>
      <c r="F1424" s="61" t="s">
        <v>620</v>
      </c>
    </row>
    <row r="1425" customFormat="false" ht="15" hidden="false" customHeight="false" outlineLevel="0" collapsed="false">
      <c r="A1425" s="92" t="str">
        <f aca="false">Gov_Map!$H669&amp;""</f>
        <v/>
      </c>
      <c r="B1425" s="73" t="s">
        <v>8482</v>
      </c>
      <c r="C1425" s="60" t="n">
        <v>669</v>
      </c>
      <c r="D1425" s="60" t="s">
        <v>8483</v>
      </c>
      <c r="E1425" s="60" t="s">
        <v>8483</v>
      </c>
      <c r="F1425" s="61" t="s">
        <v>620</v>
      </c>
    </row>
    <row r="1426" customFormat="false" ht="15" hidden="false" customHeight="false" outlineLevel="0" collapsed="false">
      <c r="A1426" s="92" t="str">
        <f aca="false">Gov_Map!$H670&amp;""</f>
        <v/>
      </c>
      <c r="B1426" s="73" t="s">
        <v>8482</v>
      </c>
      <c r="C1426" s="60" t="n">
        <v>670</v>
      </c>
      <c r="D1426" s="60" t="s">
        <v>8483</v>
      </c>
      <c r="E1426" s="60" t="s">
        <v>8483</v>
      </c>
      <c r="F1426" s="61" t="s">
        <v>620</v>
      </c>
    </row>
    <row r="1427" customFormat="false" ht="15" hidden="false" customHeight="false" outlineLevel="0" collapsed="false">
      <c r="A1427" s="92" t="str">
        <f aca="false">Gov_Map!$H671&amp;""</f>
        <v/>
      </c>
      <c r="B1427" s="73" t="s">
        <v>8482</v>
      </c>
      <c r="C1427" s="60" t="n">
        <v>671</v>
      </c>
      <c r="D1427" s="60" t="s">
        <v>8483</v>
      </c>
      <c r="E1427" s="60" t="s">
        <v>8483</v>
      </c>
      <c r="F1427" s="61" t="s">
        <v>620</v>
      </c>
    </row>
    <row r="1428" customFormat="false" ht="15" hidden="false" customHeight="false" outlineLevel="0" collapsed="false">
      <c r="A1428" s="92" t="str">
        <f aca="false">Gov_Map!$H672&amp;""</f>
        <v/>
      </c>
      <c r="B1428" s="73" t="s">
        <v>8482</v>
      </c>
      <c r="C1428" s="60" t="n">
        <v>672</v>
      </c>
      <c r="D1428" s="60" t="s">
        <v>8483</v>
      </c>
      <c r="E1428" s="60" t="s">
        <v>8483</v>
      </c>
      <c r="F1428" s="61" t="s">
        <v>620</v>
      </c>
    </row>
    <row r="1429" customFormat="false" ht="15" hidden="false" customHeight="false" outlineLevel="0" collapsed="false">
      <c r="A1429" s="92" t="str">
        <f aca="false">Gov_Map!$H673&amp;""</f>
        <v/>
      </c>
      <c r="B1429" s="73" t="s">
        <v>8482</v>
      </c>
      <c r="C1429" s="60" t="n">
        <v>673</v>
      </c>
      <c r="D1429" s="60" t="s">
        <v>8483</v>
      </c>
      <c r="E1429" s="60" t="s">
        <v>8483</v>
      </c>
      <c r="F1429" s="61" t="s">
        <v>620</v>
      </c>
    </row>
    <row r="1430" customFormat="false" ht="15" hidden="false" customHeight="false" outlineLevel="0" collapsed="false">
      <c r="A1430" s="92" t="str">
        <f aca="false">Gov_Map!$H674&amp;""</f>
        <v/>
      </c>
      <c r="B1430" s="73" t="s">
        <v>8482</v>
      </c>
      <c r="C1430" s="60" t="n">
        <v>674</v>
      </c>
      <c r="D1430" s="60" t="s">
        <v>8483</v>
      </c>
      <c r="E1430" s="60" t="s">
        <v>8483</v>
      </c>
      <c r="F1430" s="61" t="s">
        <v>620</v>
      </c>
    </row>
    <row r="1431" customFormat="false" ht="15" hidden="false" customHeight="false" outlineLevel="0" collapsed="false">
      <c r="A1431" s="92" t="str">
        <f aca="false">Gov_Map!$H675&amp;""</f>
        <v/>
      </c>
      <c r="B1431" s="73" t="s">
        <v>8482</v>
      </c>
      <c r="C1431" s="60" t="n">
        <v>675</v>
      </c>
      <c r="D1431" s="60" t="s">
        <v>8483</v>
      </c>
      <c r="E1431" s="60" t="s">
        <v>8483</v>
      </c>
      <c r="F1431" s="61" t="s">
        <v>620</v>
      </c>
    </row>
    <row r="1432" customFormat="false" ht="15" hidden="false" customHeight="false" outlineLevel="0" collapsed="false">
      <c r="A1432" s="92" t="str">
        <f aca="false">Gov_Map!$H676&amp;""</f>
        <v/>
      </c>
      <c r="B1432" s="73" t="s">
        <v>8482</v>
      </c>
      <c r="C1432" s="60" t="n">
        <v>676</v>
      </c>
      <c r="D1432" s="60" t="s">
        <v>8483</v>
      </c>
      <c r="E1432" s="60" t="s">
        <v>8483</v>
      </c>
      <c r="F1432" s="61" t="s">
        <v>620</v>
      </c>
    </row>
    <row r="1433" customFormat="false" ht="15" hidden="false" customHeight="false" outlineLevel="0" collapsed="false">
      <c r="A1433" s="92" t="str">
        <f aca="false">Gov_Map!$H677&amp;""</f>
        <v/>
      </c>
      <c r="B1433" s="73" t="s">
        <v>8482</v>
      </c>
      <c r="C1433" s="60" t="n">
        <v>677</v>
      </c>
      <c r="D1433" s="60" t="s">
        <v>8483</v>
      </c>
      <c r="E1433" s="60" t="s">
        <v>8483</v>
      </c>
      <c r="F1433" s="61" t="s">
        <v>620</v>
      </c>
    </row>
    <row r="1434" customFormat="false" ht="15" hidden="false" customHeight="false" outlineLevel="0" collapsed="false">
      <c r="A1434" s="92" t="str">
        <f aca="false">Gov_Map!$H678&amp;""</f>
        <v/>
      </c>
      <c r="B1434" s="73" t="s">
        <v>8482</v>
      </c>
      <c r="C1434" s="60" t="n">
        <v>678</v>
      </c>
      <c r="D1434" s="60" t="s">
        <v>8483</v>
      </c>
      <c r="E1434" s="60" t="s">
        <v>8483</v>
      </c>
      <c r="F1434" s="61" t="s">
        <v>620</v>
      </c>
    </row>
    <row r="1435" customFormat="false" ht="15" hidden="false" customHeight="false" outlineLevel="0" collapsed="false">
      <c r="A1435" s="92" t="str">
        <f aca="false">Gov_Map!$H679&amp;""</f>
        <v/>
      </c>
      <c r="B1435" s="73" t="s">
        <v>8482</v>
      </c>
      <c r="C1435" s="60" t="n">
        <v>679</v>
      </c>
      <c r="D1435" s="60" t="s">
        <v>8483</v>
      </c>
      <c r="E1435" s="60" t="s">
        <v>8483</v>
      </c>
      <c r="F1435" s="61" t="s">
        <v>620</v>
      </c>
    </row>
    <row r="1436" customFormat="false" ht="15" hidden="false" customHeight="false" outlineLevel="0" collapsed="false">
      <c r="A1436" s="92" t="str">
        <f aca="false">Gov_Map!$H680&amp;""</f>
        <v/>
      </c>
      <c r="B1436" s="73" t="s">
        <v>8482</v>
      </c>
      <c r="C1436" s="60" t="n">
        <v>680</v>
      </c>
      <c r="D1436" s="60" t="s">
        <v>8483</v>
      </c>
      <c r="E1436" s="60" t="s">
        <v>8483</v>
      </c>
      <c r="F1436" s="61" t="s">
        <v>620</v>
      </c>
    </row>
    <row r="1437" customFormat="false" ht="15" hidden="false" customHeight="false" outlineLevel="0" collapsed="false">
      <c r="A1437" s="92" t="str">
        <f aca="false">Gov_Map!$H681&amp;""</f>
        <v/>
      </c>
      <c r="B1437" s="73" t="s">
        <v>8482</v>
      </c>
      <c r="C1437" s="60" t="n">
        <v>681</v>
      </c>
      <c r="D1437" s="60" t="s">
        <v>8483</v>
      </c>
      <c r="E1437" s="60" t="s">
        <v>8483</v>
      </c>
      <c r="F1437" s="61" t="s">
        <v>620</v>
      </c>
    </row>
    <row r="1438" customFormat="false" ht="15" hidden="false" customHeight="false" outlineLevel="0" collapsed="false">
      <c r="A1438" s="92" t="str">
        <f aca="false">Gov_Map!$H682&amp;""</f>
        <v/>
      </c>
      <c r="B1438" s="73" t="s">
        <v>8482</v>
      </c>
      <c r="C1438" s="60" t="n">
        <v>682</v>
      </c>
      <c r="D1438" s="60" t="s">
        <v>8483</v>
      </c>
      <c r="E1438" s="60" t="s">
        <v>8483</v>
      </c>
      <c r="F1438" s="61" t="s">
        <v>620</v>
      </c>
    </row>
    <row r="1439" customFormat="false" ht="15" hidden="false" customHeight="false" outlineLevel="0" collapsed="false">
      <c r="A1439" s="92" t="str">
        <f aca="false">Gov_Map!$H683&amp;""</f>
        <v/>
      </c>
      <c r="B1439" s="73" t="s">
        <v>8482</v>
      </c>
      <c r="C1439" s="60" t="n">
        <v>683</v>
      </c>
      <c r="D1439" s="60" t="s">
        <v>8483</v>
      </c>
      <c r="E1439" s="60" t="s">
        <v>8483</v>
      </c>
      <c r="F1439" s="61" t="s">
        <v>620</v>
      </c>
    </row>
    <row r="1440" customFormat="false" ht="15" hidden="false" customHeight="false" outlineLevel="0" collapsed="false">
      <c r="A1440" s="92" t="str">
        <f aca="false">Gov_Map!$H684&amp;""</f>
        <v/>
      </c>
      <c r="B1440" s="73" t="s">
        <v>8482</v>
      </c>
      <c r="C1440" s="60" t="n">
        <v>684</v>
      </c>
      <c r="D1440" s="60" t="s">
        <v>8483</v>
      </c>
      <c r="E1440" s="60" t="s">
        <v>8483</v>
      </c>
      <c r="F1440" s="61" t="s">
        <v>620</v>
      </c>
    </row>
    <row r="1441" customFormat="false" ht="15" hidden="false" customHeight="false" outlineLevel="0" collapsed="false">
      <c r="A1441" s="92" t="str">
        <f aca="false">Gov_Map!$H685&amp;""</f>
        <v/>
      </c>
      <c r="B1441" s="73" t="s">
        <v>8482</v>
      </c>
      <c r="C1441" s="60" t="n">
        <v>685</v>
      </c>
      <c r="D1441" s="60" t="s">
        <v>8483</v>
      </c>
      <c r="E1441" s="60" t="s">
        <v>8483</v>
      </c>
      <c r="F1441" s="61" t="s">
        <v>620</v>
      </c>
    </row>
    <row r="1442" customFormat="false" ht="15" hidden="false" customHeight="false" outlineLevel="0" collapsed="false">
      <c r="A1442" s="92" t="str">
        <f aca="false">Gov_Map!$H686&amp;""</f>
        <v/>
      </c>
      <c r="B1442" s="73" t="s">
        <v>8482</v>
      </c>
      <c r="C1442" s="60" t="n">
        <v>686</v>
      </c>
      <c r="D1442" s="60" t="s">
        <v>8483</v>
      </c>
      <c r="E1442" s="60" t="s">
        <v>8483</v>
      </c>
      <c r="F1442" s="61" t="s">
        <v>620</v>
      </c>
    </row>
    <row r="1443" customFormat="false" ht="15" hidden="false" customHeight="false" outlineLevel="0" collapsed="false">
      <c r="A1443" s="92" t="str">
        <f aca="false">Gov_Map!$H687&amp;""</f>
        <v/>
      </c>
      <c r="B1443" s="73" t="s">
        <v>8482</v>
      </c>
      <c r="C1443" s="60" t="n">
        <v>687</v>
      </c>
      <c r="D1443" s="60" t="s">
        <v>8483</v>
      </c>
      <c r="E1443" s="60" t="s">
        <v>8483</v>
      </c>
      <c r="F1443" s="61" t="s">
        <v>620</v>
      </c>
    </row>
    <row r="1444" customFormat="false" ht="15" hidden="false" customHeight="false" outlineLevel="0" collapsed="false">
      <c r="A1444" s="92" t="str">
        <f aca="false">Gov_Map!$H688&amp;""</f>
        <v/>
      </c>
      <c r="B1444" s="73" t="s">
        <v>8482</v>
      </c>
      <c r="C1444" s="60" t="n">
        <v>688</v>
      </c>
      <c r="D1444" s="60" t="s">
        <v>8483</v>
      </c>
      <c r="E1444" s="60" t="s">
        <v>8483</v>
      </c>
      <c r="F1444" s="61" t="s">
        <v>620</v>
      </c>
    </row>
    <row r="1445" customFormat="false" ht="15" hidden="false" customHeight="false" outlineLevel="0" collapsed="false">
      <c r="A1445" s="92" t="str">
        <f aca="false">Gov_Map!$H689&amp;""</f>
        <v/>
      </c>
      <c r="B1445" s="73" t="s">
        <v>8482</v>
      </c>
      <c r="C1445" s="60" t="n">
        <v>689</v>
      </c>
      <c r="D1445" s="60" t="s">
        <v>8483</v>
      </c>
      <c r="E1445" s="60" t="s">
        <v>8483</v>
      </c>
      <c r="F1445" s="61" t="s">
        <v>620</v>
      </c>
    </row>
    <row r="1446" customFormat="false" ht="15" hidden="false" customHeight="false" outlineLevel="0" collapsed="false">
      <c r="A1446" s="92" t="str">
        <f aca="false">Gov_Map!$H690&amp;""</f>
        <v/>
      </c>
      <c r="B1446" s="73" t="s">
        <v>8482</v>
      </c>
      <c r="C1446" s="60" t="n">
        <v>690</v>
      </c>
      <c r="D1446" s="60" t="s">
        <v>8483</v>
      </c>
      <c r="E1446" s="60" t="s">
        <v>8483</v>
      </c>
      <c r="F1446" s="61" t="s">
        <v>620</v>
      </c>
    </row>
    <row r="1447" customFormat="false" ht="15" hidden="false" customHeight="false" outlineLevel="0" collapsed="false">
      <c r="A1447" s="92" t="str">
        <f aca="false">Gov_Map!$H691&amp;""</f>
        <v/>
      </c>
      <c r="B1447" s="73" t="s">
        <v>8482</v>
      </c>
      <c r="C1447" s="60" t="n">
        <v>691</v>
      </c>
      <c r="D1447" s="60" t="s">
        <v>8483</v>
      </c>
      <c r="E1447" s="60" t="s">
        <v>8483</v>
      </c>
      <c r="F1447" s="61" t="s">
        <v>620</v>
      </c>
    </row>
    <row r="1448" customFormat="false" ht="15" hidden="false" customHeight="false" outlineLevel="0" collapsed="false">
      <c r="A1448" s="92" t="str">
        <f aca="false">Gov_Map!$H692&amp;""</f>
        <v/>
      </c>
      <c r="B1448" s="73" t="s">
        <v>8482</v>
      </c>
      <c r="C1448" s="60" t="n">
        <v>692</v>
      </c>
      <c r="D1448" s="60" t="s">
        <v>8483</v>
      </c>
      <c r="E1448" s="60" t="s">
        <v>8483</v>
      </c>
      <c r="F1448" s="61" t="s">
        <v>620</v>
      </c>
    </row>
    <row r="1449" customFormat="false" ht="15" hidden="false" customHeight="false" outlineLevel="0" collapsed="false">
      <c r="A1449" s="92" t="str">
        <f aca="false">Gov_Map!$H693&amp;""</f>
        <v/>
      </c>
      <c r="B1449" s="73" t="s">
        <v>8482</v>
      </c>
      <c r="C1449" s="60" t="n">
        <v>693</v>
      </c>
      <c r="D1449" s="60" t="s">
        <v>8483</v>
      </c>
      <c r="E1449" s="60" t="s">
        <v>8483</v>
      </c>
      <c r="F1449" s="61" t="s">
        <v>620</v>
      </c>
    </row>
    <row r="1450" customFormat="false" ht="15" hidden="false" customHeight="false" outlineLevel="0" collapsed="false">
      <c r="A1450" s="92" t="str">
        <f aca="false">Gov_Map!$H694&amp;""</f>
        <v/>
      </c>
      <c r="B1450" s="73" t="s">
        <v>8482</v>
      </c>
      <c r="C1450" s="60" t="n">
        <v>694</v>
      </c>
      <c r="D1450" s="60" t="s">
        <v>8483</v>
      </c>
      <c r="E1450" s="60" t="s">
        <v>8483</v>
      </c>
      <c r="F1450" s="61" t="s">
        <v>620</v>
      </c>
    </row>
    <row r="1451" customFormat="false" ht="15" hidden="false" customHeight="false" outlineLevel="0" collapsed="false">
      <c r="A1451" s="92" t="str">
        <f aca="false">Gov_Map!$H695&amp;""</f>
        <v/>
      </c>
      <c r="B1451" s="73" t="s">
        <v>8482</v>
      </c>
      <c r="C1451" s="60" t="n">
        <v>695</v>
      </c>
      <c r="D1451" s="60" t="s">
        <v>8483</v>
      </c>
      <c r="E1451" s="60" t="s">
        <v>8483</v>
      </c>
      <c r="F1451" s="61" t="s">
        <v>620</v>
      </c>
    </row>
    <row r="1452" customFormat="false" ht="15" hidden="false" customHeight="false" outlineLevel="0" collapsed="false">
      <c r="A1452" s="92" t="str">
        <f aca="false">Gov_Map!$H696&amp;""</f>
        <v/>
      </c>
      <c r="B1452" s="73" t="s">
        <v>8482</v>
      </c>
      <c r="C1452" s="60" t="n">
        <v>696</v>
      </c>
      <c r="D1452" s="60" t="s">
        <v>8483</v>
      </c>
      <c r="E1452" s="60" t="s">
        <v>8483</v>
      </c>
      <c r="F1452" s="61" t="s">
        <v>620</v>
      </c>
    </row>
    <row r="1453" customFormat="false" ht="15" hidden="false" customHeight="false" outlineLevel="0" collapsed="false">
      <c r="A1453" s="92" t="str">
        <f aca="false">Gov_Map!$H697&amp;""</f>
        <v/>
      </c>
      <c r="B1453" s="73" t="s">
        <v>8482</v>
      </c>
      <c r="C1453" s="60" t="n">
        <v>697</v>
      </c>
      <c r="D1453" s="60" t="s">
        <v>8483</v>
      </c>
      <c r="E1453" s="60" t="s">
        <v>8483</v>
      </c>
      <c r="F1453" s="61" t="s">
        <v>620</v>
      </c>
    </row>
    <row r="1454" customFormat="false" ht="15" hidden="false" customHeight="false" outlineLevel="0" collapsed="false">
      <c r="A1454" s="92" t="str">
        <f aca="false">Gov_Map!$H698&amp;""</f>
        <v/>
      </c>
      <c r="B1454" s="73" t="s">
        <v>8482</v>
      </c>
      <c r="C1454" s="60" t="n">
        <v>698</v>
      </c>
      <c r="D1454" s="60" t="s">
        <v>8483</v>
      </c>
      <c r="E1454" s="60" t="s">
        <v>8483</v>
      </c>
      <c r="F1454" s="61" t="s">
        <v>620</v>
      </c>
    </row>
    <row r="1455" customFormat="false" ht="15" hidden="false" customHeight="false" outlineLevel="0" collapsed="false">
      <c r="A1455" s="92" t="str">
        <f aca="false">Gov_Map!$H699&amp;""</f>
        <v/>
      </c>
      <c r="B1455" s="73" t="s">
        <v>8482</v>
      </c>
      <c r="C1455" s="60" t="n">
        <v>699</v>
      </c>
      <c r="D1455" s="60" t="s">
        <v>8483</v>
      </c>
      <c r="E1455" s="60" t="s">
        <v>8483</v>
      </c>
      <c r="F1455" s="61" t="s">
        <v>620</v>
      </c>
    </row>
    <row r="1456" customFormat="false" ht="15" hidden="false" customHeight="false" outlineLevel="0" collapsed="false">
      <c r="A1456" s="92" t="str">
        <f aca="false">Gov_Map!$H700&amp;""</f>
        <v/>
      </c>
      <c r="B1456" s="73" t="s">
        <v>8482</v>
      </c>
      <c r="C1456" s="60" t="n">
        <v>700</v>
      </c>
      <c r="D1456" s="60" t="s">
        <v>8483</v>
      </c>
      <c r="E1456" s="60" t="s">
        <v>8483</v>
      </c>
      <c r="F1456" s="61" t="s">
        <v>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8484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4" t="s">
        <v>599</v>
      </c>
      <c r="B3" s="12" t="s">
        <v>370</v>
      </c>
      <c r="C3" s="12" t="s">
        <v>8485</v>
      </c>
      <c r="D3" s="12" t="s">
        <v>87</v>
      </c>
      <c r="E3" s="12" t="s">
        <v>5819</v>
      </c>
      <c r="F3" s="12" t="s">
        <v>463</v>
      </c>
      <c r="G3" s="12" t="s">
        <v>8486</v>
      </c>
    </row>
    <row r="4" customFormat="false" ht="29.25" hidden="false" customHeight="true" outlineLevel="0" collapsed="false">
      <c r="A4" s="15" t="s">
        <v>6116</v>
      </c>
      <c r="B4" s="15" t="s">
        <v>8487</v>
      </c>
      <c r="C4" s="19" t="s">
        <v>8488</v>
      </c>
      <c r="D4" s="15" t="s">
        <v>135</v>
      </c>
      <c r="E4" s="15" t="s">
        <v>6608</v>
      </c>
      <c r="F4" s="6" t="s">
        <v>6609</v>
      </c>
      <c r="G4" s="20" t="s">
        <v>8489</v>
      </c>
    </row>
    <row r="5" customFormat="false" ht="15" hidden="false" customHeight="true" outlineLevel="0" collapsed="false">
      <c r="A5" s="15" t="s">
        <v>6125</v>
      </c>
      <c r="B5" s="15" t="s">
        <v>8490</v>
      </c>
      <c r="C5" s="19" t="s">
        <v>8491</v>
      </c>
      <c r="D5" s="15" t="s">
        <v>104</v>
      </c>
      <c r="E5" s="15" t="s">
        <v>6620</v>
      </c>
      <c r="F5" s="6" t="s">
        <v>6621</v>
      </c>
      <c r="G5" s="20" t="s">
        <v>8489</v>
      </c>
    </row>
    <row r="6" customFormat="false" ht="15" hidden="false" customHeight="true" outlineLevel="0" collapsed="false">
      <c r="A6" s="15" t="s">
        <v>6638</v>
      </c>
      <c r="B6" s="15" t="s">
        <v>8492</v>
      </c>
      <c r="C6" s="6" t="s">
        <v>8493</v>
      </c>
      <c r="D6" s="15" t="s">
        <v>212</v>
      </c>
      <c r="E6" s="15" t="s">
        <v>6634</v>
      </c>
      <c r="F6" s="6" t="s">
        <v>6643</v>
      </c>
      <c r="G6" s="20" t="s">
        <v>8489</v>
      </c>
    </row>
    <row r="7" customFormat="false" ht="15" hidden="false" customHeight="true" outlineLevel="0" collapsed="false">
      <c r="A7" s="15" t="s">
        <v>6654</v>
      </c>
      <c r="B7" s="15" t="s">
        <v>8494</v>
      </c>
      <c r="C7" s="6" t="s">
        <v>8495</v>
      </c>
      <c r="D7" s="15" t="s">
        <v>212</v>
      </c>
      <c r="E7" s="15" t="s">
        <v>6650</v>
      </c>
      <c r="F7" s="6" t="s">
        <v>6651</v>
      </c>
      <c r="G7" s="20" t="s">
        <v>8489</v>
      </c>
    </row>
    <row r="8" customFormat="false" ht="15" hidden="false" customHeight="true" outlineLevel="0" collapsed="false">
      <c r="A8" s="15" t="s">
        <v>6673</v>
      </c>
      <c r="B8" s="15" t="s">
        <v>8496</v>
      </c>
      <c r="C8" s="6" t="s">
        <v>8497</v>
      </c>
      <c r="D8" s="15" t="s">
        <v>212</v>
      </c>
      <c r="E8" s="15" t="s">
        <v>1227</v>
      </c>
      <c r="F8" s="6" t="s">
        <v>6670</v>
      </c>
      <c r="G8" s="20" t="s">
        <v>8489</v>
      </c>
    </row>
    <row r="9" customFormat="false" ht="15" hidden="false" customHeight="true" outlineLevel="0" collapsed="false">
      <c r="A9" s="15" t="s">
        <v>6680</v>
      </c>
      <c r="B9" s="15" t="s">
        <v>8498</v>
      </c>
      <c r="C9" s="6" t="s">
        <v>8499</v>
      </c>
      <c r="D9" s="15" t="s">
        <v>212</v>
      </c>
      <c r="E9" s="15" t="s">
        <v>1227</v>
      </c>
      <c r="F9" s="6" t="s">
        <v>8500</v>
      </c>
      <c r="G9" s="20" t="s">
        <v>8489</v>
      </c>
    </row>
    <row r="10" customFormat="false" ht="29.25" hidden="false" customHeight="true" outlineLevel="0" collapsed="false">
      <c r="A10" s="15" t="s">
        <v>6688</v>
      </c>
      <c r="B10" s="15" t="s">
        <v>8501</v>
      </c>
      <c r="C10" s="6" t="s">
        <v>8502</v>
      </c>
      <c r="D10" s="15" t="s">
        <v>212</v>
      </c>
      <c r="E10" s="15" t="s">
        <v>6620</v>
      </c>
      <c r="F10" s="6" t="s">
        <v>6693</v>
      </c>
      <c r="G10" s="20" t="s">
        <v>8489</v>
      </c>
    </row>
    <row r="11" customFormat="false" ht="15" hidden="false" customHeight="true" outlineLevel="0" collapsed="false">
      <c r="A11" s="15" t="s">
        <v>6710</v>
      </c>
      <c r="B11" s="15" t="s">
        <v>6704</v>
      </c>
      <c r="C11" s="6" t="s">
        <v>8503</v>
      </c>
      <c r="D11" s="15" t="s">
        <v>212</v>
      </c>
      <c r="E11" s="15" t="s">
        <v>1224</v>
      </c>
      <c r="F11" s="6" t="s">
        <v>8504</v>
      </c>
      <c r="G11" s="20" t="s">
        <v>8489</v>
      </c>
    </row>
    <row r="12" customFormat="false" ht="15" hidden="false" customHeight="true" outlineLevel="0" collapsed="false">
      <c r="A12" s="15" t="s">
        <v>6720</v>
      </c>
      <c r="B12" s="15" t="s">
        <v>8505</v>
      </c>
      <c r="C12" s="6" t="s">
        <v>8506</v>
      </c>
      <c r="D12" s="15" t="s">
        <v>212</v>
      </c>
      <c r="E12" s="15" t="s">
        <v>8507</v>
      </c>
      <c r="F12" s="6" t="s">
        <v>6716</v>
      </c>
      <c r="G12" s="20" t="s">
        <v>8489</v>
      </c>
    </row>
    <row r="13" customFormat="false" ht="15" hidden="false" customHeight="true" outlineLevel="0" collapsed="false">
      <c r="A13" s="15" t="s">
        <v>6979</v>
      </c>
      <c r="B13" s="20" t="s">
        <v>8508</v>
      </c>
      <c r="C13" s="6" t="s">
        <v>8509</v>
      </c>
      <c r="D13" s="15" t="s">
        <v>104</v>
      </c>
      <c r="E13" s="15" t="s">
        <v>6620</v>
      </c>
      <c r="F13" s="6" t="s">
        <v>6976</v>
      </c>
      <c r="G13" s="20" t="s">
        <v>8489</v>
      </c>
    </row>
    <row r="14" customFormat="false" ht="15" hidden="false" customHeight="true" outlineLevel="0" collapsed="false">
      <c r="A14" s="15" t="s">
        <v>6741</v>
      </c>
      <c r="B14" s="15" t="s">
        <v>8510</v>
      </c>
      <c r="C14" s="19" t="s">
        <v>8511</v>
      </c>
      <c r="D14" s="15" t="s">
        <v>212</v>
      </c>
      <c r="E14" s="15" t="s">
        <v>6620</v>
      </c>
      <c r="F14" s="6" t="s">
        <v>6738</v>
      </c>
      <c r="G14" s="20" t="s">
        <v>8512</v>
      </c>
    </row>
    <row r="15" customFormat="false" ht="29.25" hidden="false" customHeight="true" outlineLevel="0" collapsed="false">
      <c r="A15" s="15" t="s">
        <v>6991</v>
      </c>
      <c r="B15" s="20" t="s">
        <v>8513</v>
      </c>
      <c r="C15" s="6" t="s">
        <v>8514</v>
      </c>
      <c r="D15" s="15" t="s">
        <v>104</v>
      </c>
      <c r="E15" s="15" t="s">
        <v>6620</v>
      </c>
      <c r="F15" s="6" t="s">
        <v>6989</v>
      </c>
      <c r="G15" s="20" t="s">
        <v>8489</v>
      </c>
    </row>
    <row r="16" customFormat="false" ht="26.25" hidden="false" customHeight="true" outlineLevel="0" collapsed="false">
      <c r="A16" s="15" t="s">
        <v>7004</v>
      </c>
      <c r="B16" s="20" t="s">
        <v>8515</v>
      </c>
      <c r="C16" s="6" t="s">
        <v>8516</v>
      </c>
      <c r="D16" s="15" t="s">
        <v>135</v>
      </c>
      <c r="E16" s="15" t="s">
        <v>6715</v>
      </c>
      <c r="F16" s="6" t="s">
        <v>7001</v>
      </c>
      <c r="G16" s="20" t="s">
        <v>8517</v>
      </c>
    </row>
    <row r="17" customFormat="false" ht="15" hidden="false" customHeight="true" outlineLevel="0" collapsed="false">
      <c r="A17" s="15" t="s">
        <v>8518</v>
      </c>
      <c r="B17" s="15" t="s">
        <v>102</v>
      </c>
      <c r="C17" s="19" t="s">
        <v>8519</v>
      </c>
      <c r="D17" s="15" t="s">
        <v>104</v>
      </c>
      <c r="E17" s="15" t="s">
        <v>620</v>
      </c>
      <c r="F17" s="6" t="s">
        <v>8520</v>
      </c>
      <c r="G17" s="20" t="s">
        <v>8489</v>
      </c>
    </row>
    <row r="18" customFormat="false" ht="29.25" hidden="false" customHeight="true" outlineLevel="0" collapsed="false">
      <c r="A18" s="15" t="s">
        <v>7013</v>
      </c>
      <c r="B18" s="15" t="s">
        <v>8521</v>
      </c>
      <c r="C18" s="6" t="s">
        <v>8522</v>
      </c>
      <c r="D18" s="15" t="s">
        <v>135</v>
      </c>
      <c r="E18" s="15" t="s">
        <v>6745</v>
      </c>
      <c r="F18" s="6" t="s">
        <v>7011</v>
      </c>
      <c r="G18" s="20" t="s">
        <v>8523</v>
      </c>
    </row>
    <row r="19" customFormat="false" ht="15" hidden="false" customHeight="true" outlineLevel="0" collapsed="false">
      <c r="A19" s="15" t="s">
        <v>7028</v>
      </c>
      <c r="B19" s="20" t="s">
        <v>8524</v>
      </c>
      <c r="C19" s="19" t="s">
        <v>8525</v>
      </c>
      <c r="D19" s="15" t="s">
        <v>212</v>
      </c>
      <c r="E19" s="15" t="s">
        <v>7024</v>
      </c>
      <c r="F19" s="6" t="s">
        <v>7025</v>
      </c>
      <c r="G19" s="20" t="s">
        <v>8526</v>
      </c>
    </row>
    <row r="20" customFormat="false" ht="15" hidden="false" customHeight="true" outlineLevel="0" collapsed="false">
      <c r="A20" s="15" t="s">
        <v>7038</v>
      </c>
      <c r="B20" s="15" t="s">
        <v>8527</v>
      </c>
      <c r="C20" s="6" t="s">
        <v>8528</v>
      </c>
      <c r="D20" s="15" t="s">
        <v>212</v>
      </c>
      <c r="E20" s="15" t="s">
        <v>6715</v>
      </c>
      <c r="F20" s="6" t="s">
        <v>7034</v>
      </c>
      <c r="G20" s="20" t="s">
        <v>7033</v>
      </c>
    </row>
    <row r="21" customFormat="false" ht="15" hidden="false" customHeight="true" outlineLevel="0" collapsed="false">
      <c r="A21" s="15" t="s">
        <v>7658</v>
      </c>
      <c r="B21" s="15" t="s">
        <v>8529</v>
      </c>
      <c r="C21" s="6" t="s">
        <v>8530</v>
      </c>
      <c r="D21" s="15" t="s">
        <v>135</v>
      </c>
      <c r="E21" s="15" t="s">
        <v>6715</v>
      </c>
      <c r="F21" s="6" t="s">
        <v>7655</v>
      </c>
      <c r="G21" s="20" t="s">
        <v>8489</v>
      </c>
    </row>
    <row r="22" customFormat="false" ht="15" hidden="false" customHeight="true" outlineLevel="0" collapsed="false">
      <c r="A22" s="15" t="s">
        <v>7668</v>
      </c>
      <c r="B22" s="20" t="s">
        <v>8531</v>
      </c>
      <c r="C22" s="6" t="s">
        <v>8532</v>
      </c>
      <c r="D22" s="15" t="s">
        <v>147</v>
      </c>
      <c r="E22" s="15" t="s">
        <v>1224</v>
      </c>
      <c r="F22" s="6" t="s">
        <v>7664</v>
      </c>
      <c r="G22" s="20" t="s">
        <v>7663</v>
      </c>
    </row>
    <row r="23" customFormat="false" ht="54.75" hidden="false" customHeight="true" outlineLevel="0" collapsed="false">
      <c r="A23" s="6" t="s">
        <v>466</v>
      </c>
      <c r="B23" s="6" t="s">
        <v>8533</v>
      </c>
      <c r="C23" s="6" t="s">
        <v>8534</v>
      </c>
      <c r="D23" s="6" t="s">
        <v>8535</v>
      </c>
      <c r="E23" s="6" t="s">
        <v>6715</v>
      </c>
      <c r="F23" s="6" t="s">
        <v>7368</v>
      </c>
      <c r="G23" s="5" t="s">
        <v>8536</v>
      </c>
    </row>
    <row r="24" customFormat="false" ht="43.5" hidden="false" customHeight="true" outlineLevel="0" collapsed="false">
      <c r="A24" s="6" t="s">
        <v>465</v>
      </c>
      <c r="B24" s="6" t="s">
        <v>8537</v>
      </c>
      <c r="C24" s="6" t="s">
        <v>8538</v>
      </c>
      <c r="D24" s="6" t="s">
        <v>8539</v>
      </c>
      <c r="E24" s="6" t="s">
        <v>7382</v>
      </c>
      <c r="F24" s="6" t="s">
        <v>7383</v>
      </c>
      <c r="G24" s="5" t="s">
        <v>8540</v>
      </c>
    </row>
    <row r="25" customFormat="false" ht="29.25" hidden="false" customHeight="true" outlineLevel="0" collapsed="false">
      <c r="A25" s="6" t="s">
        <v>464</v>
      </c>
      <c r="B25" s="6" t="s">
        <v>8541</v>
      </c>
      <c r="C25" s="6" t="s">
        <v>8542</v>
      </c>
      <c r="D25" s="6" t="s">
        <v>8543</v>
      </c>
      <c r="E25" s="5" t="s">
        <v>8544</v>
      </c>
      <c r="F25" s="6" t="s">
        <v>7406</v>
      </c>
      <c r="G25" s="5" t="s">
        <v>8545</v>
      </c>
    </row>
    <row r="26" customFormat="false" ht="29.25" hidden="false" customHeight="true" outlineLevel="0" collapsed="false">
      <c r="A26" s="6" t="s">
        <v>467</v>
      </c>
      <c r="B26" s="6" t="s">
        <v>8546</v>
      </c>
      <c r="C26" s="6" t="s">
        <v>8547</v>
      </c>
      <c r="D26" s="6" t="s">
        <v>8548</v>
      </c>
      <c r="E26" s="6" t="s">
        <v>7428</v>
      </c>
      <c r="F26" s="6" t="s">
        <v>7429</v>
      </c>
      <c r="G26" s="5" t="s">
        <v>8549</v>
      </c>
    </row>
    <row r="27" customFormat="false" ht="29.25" hidden="false" customHeight="true" outlineLevel="0" collapsed="false">
      <c r="A27" s="6" t="s">
        <v>7442</v>
      </c>
      <c r="B27" s="6" t="s">
        <v>8550</v>
      </c>
      <c r="C27" s="6" t="s">
        <v>8551</v>
      </c>
      <c r="D27" s="6" t="s">
        <v>8548</v>
      </c>
      <c r="E27" s="6" t="s">
        <v>1227</v>
      </c>
      <c r="F27" s="6" t="s">
        <v>7439</v>
      </c>
      <c r="G27" s="5" t="s">
        <v>8552</v>
      </c>
    </row>
    <row r="28" customFormat="false" ht="29.25" hidden="false" customHeight="true" outlineLevel="0" collapsed="false">
      <c r="A28" s="6" t="s">
        <v>7919</v>
      </c>
      <c r="B28" s="6" t="s">
        <v>8553</v>
      </c>
      <c r="C28" s="6" t="s">
        <v>8554</v>
      </c>
      <c r="D28" s="6" t="s">
        <v>8555</v>
      </c>
      <c r="E28" s="6" t="s">
        <v>7202</v>
      </c>
      <c r="F28" s="6" t="s">
        <v>7916</v>
      </c>
      <c r="G28" s="5" t="s">
        <v>8556</v>
      </c>
    </row>
    <row r="29" customFormat="false" ht="54.75" hidden="false" customHeight="true" outlineLevel="0" collapsed="false">
      <c r="A29" s="6" t="s">
        <v>7453</v>
      </c>
      <c r="B29" s="6" t="s">
        <v>8557</v>
      </c>
      <c r="C29" s="6" t="s">
        <v>8558</v>
      </c>
      <c r="D29" s="6" t="s">
        <v>8559</v>
      </c>
      <c r="E29" s="6" t="s">
        <v>1224</v>
      </c>
      <c r="F29" s="6" t="s">
        <v>7450</v>
      </c>
      <c r="G29" s="5" t="s">
        <v>8560</v>
      </c>
    </row>
    <row r="30" customFormat="false" ht="29.25" hidden="false" customHeight="true" outlineLevel="0" collapsed="false">
      <c r="A30" s="6" t="s">
        <v>3608</v>
      </c>
      <c r="B30" s="6" t="s">
        <v>8561</v>
      </c>
      <c r="C30" s="6" t="s">
        <v>8562</v>
      </c>
      <c r="D30" s="6" t="s">
        <v>135</v>
      </c>
      <c r="E30" s="6" t="s">
        <v>6620</v>
      </c>
      <c r="F30" s="6" t="s">
        <v>7082</v>
      </c>
      <c r="G30" s="5" t="s">
        <v>8563</v>
      </c>
    </row>
    <row r="31" customFormat="false" ht="43.5" hidden="false" customHeight="true" outlineLevel="0" collapsed="false">
      <c r="A31" s="6" t="s">
        <v>6750</v>
      </c>
      <c r="B31" s="6" t="s">
        <v>8564</v>
      </c>
      <c r="C31" s="6" t="s">
        <v>8565</v>
      </c>
      <c r="D31" s="6" t="s">
        <v>8566</v>
      </c>
      <c r="E31" s="6" t="s">
        <v>6745</v>
      </c>
      <c r="F31" s="5" t="s">
        <v>6746</v>
      </c>
      <c r="G31" s="5" t="s">
        <v>8567</v>
      </c>
    </row>
    <row r="32" customFormat="false" ht="15" hidden="false" customHeight="true" outlineLevel="0" collapsed="false">
      <c r="A32" s="6" t="s">
        <v>6799</v>
      </c>
      <c r="B32" s="5" t="s">
        <v>8568</v>
      </c>
      <c r="C32" s="6" t="s">
        <v>8569</v>
      </c>
      <c r="D32" s="6" t="s">
        <v>104</v>
      </c>
      <c r="E32" s="6" t="s">
        <v>620</v>
      </c>
      <c r="F32" s="5" t="s">
        <v>6796</v>
      </c>
      <c r="G32" s="5" t="s">
        <v>8489</v>
      </c>
    </row>
    <row r="33" customFormat="false" ht="29.25" hidden="false" customHeight="true" outlineLevel="0" collapsed="false">
      <c r="A33" s="6" t="s">
        <v>7486</v>
      </c>
      <c r="B33" s="6" t="s">
        <v>8570</v>
      </c>
      <c r="C33" s="6" t="s">
        <v>8571</v>
      </c>
      <c r="D33" s="6" t="s">
        <v>8572</v>
      </c>
      <c r="E33" s="6" t="s">
        <v>7481</v>
      </c>
      <c r="F33" s="6" t="s">
        <v>7482</v>
      </c>
      <c r="G33" s="5" t="s">
        <v>8556</v>
      </c>
    </row>
    <row r="34" customFormat="false" ht="69" hidden="false" customHeight="true" outlineLevel="0" collapsed="false">
      <c r="A34" s="6" t="s">
        <v>3594</v>
      </c>
      <c r="B34" s="6" t="s">
        <v>8573</v>
      </c>
      <c r="C34" s="6" t="s">
        <v>8574</v>
      </c>
      <c r="D34" s="6" t="s">
        <v>8575</v>
      </c>
      <c r="E34" s="6" t="s">
        <v>7497</v>
      </c>
      <c r="F34" s="6" t="s">
        <v>8576</v>
      </c>
      <c r="G34" s="5" t="s">
        <v>8577</v>
      </c>
    </row>
    <row r="35" customFormat="false" ht="29.25" hidden="false" customHeight="true" outlineLevel="0" collapsed="false">
      <c r="A35" s="6" t="s">
        <v>7513</v>
      </c>
      <c r="B35" s="6" t="s">
        <v>8578</v>
      </c>
      <c r="C35" s="5" t="s">
        <v>8579</v>
      </c>
      <c r="D35" s="6" t="s">
        <v>135</v>
      </c>
      <c r="E35" s="6" t="s">
        <v>8580</v>
      </c>
      <c r="F35" s="6" t="s">
        <v>7510</v>
      </c>
      <c r="G35" s="5" t="s">
        <v>8560</v>
      </c>
    </row>
    <row r="36" customFormat="false" ht="29.25" hidden="false" customHeight="true" outlineLevel="0" collapsed="false">
      <c r="A36" s="6" t="s">
        <v>8581</v>
      </c>
      <c r="B36" s="6" t="s">
        <v>8582</v>
      </c>
      <c r="C36" s="6" t="s">
        <v>8583</v>
      </c>
      <c r="D36" s="6" t="s">
        <v>8584</v>
      </c>
      <c r="E36" s="6" t="s">
        <v>6650</v>
      </c>
      <c r="F36" s="6" t="s">
        <v>8585</v>
      </c>
      <c r="G36" s="5" t="s">
        <v>8586</v>
      </c>
    </row>
    <row r="37" customFormat="false" ht="29.25" hidden="false" customHeight="true" outlineLevel="0" collapsed="false">
      <c r="A37" s="6" t="s">
        <v>7189</v>
      </c>
      <c r="B37" s="6" t="s">
        <v>8587</v>
      </c>
      <c r="C37" s="6" t="s">
        <v>8588</v>
      </c>
      <c r="D37" s="6" t="s">
        <v>8589</v>
      </c>
      <c r="E37" s="6" t="s">
        <v>6634</v>
      </c>
      <c r="F37" s="6" t="s">
        <v>7185</v>
      </c>
      <c r="G37" s="5" t="s">
        <v>8590</v>
      </c>
    </row>
    <row r="38" customFormat="false" ht="29.25" hidden="false" customHeight="true" outlineLevel="0" collapsed="false">
      <c r="A38" s="6" t="s">
        <v>6818</v>
      </c>
      <c r="B38" s="6" t="s">
        <v>8591</v>
      </c>
      <c r="C38" s="6" t="s">
        <v>8592</v>
      </c>
      <c r="D38" s="6" t="s">
        <v>8566</v>
      </c>
      <c r="E38" s="6" t="s">
        <v>6620</v>
      </c>
      <c r="F38" s="6" t="s">
        <v>6814</v>
      </c>
      <c r="G38" s="5" t="s">
        <v>8593</v>
      </c>
    </row>
    <row r="39" customFormat="false" ht="29.25" hidden="false" customHeight="true" outlineLevel="0" collapsed="false">
      <c r="A39" s="6" t="s">
        <v>7539</v>
      </c>
      <c r="B39" s="6" t="s">
        <v>8594</v>
      </c>
      <c r="C39" s="6" t="s">
        <v>8595</v>
      </c>
      <c r="D39" s="6" t="s">
        <v>8596</v>
      </c>
      <c r="E39" s="6" t="s">
        <v>7535</v>
      </c>
      <c r="F39" s="6" t="s">
        <v>7536</v>
      </c>
      <c r="G39" s="5" t="s">
        <v>8489</v>
      </c>
    </row>
    <row r="40" customFormat="false" ht="57.75" hidden="false" customHeight="true" outlineLevel="0" collapsed="false">
      <c r="A40" s="6" t="s">
        <v>7986</v>
      </c>
      <c r="B40" s="6" t="s">
        <v>8597</v>
      </c>
      <c r="C40" s="5" t="s">
        <v>8598</v>
      </c>
      <c r="D40" s="6" t="s">
        <v>8599</v>
      </c>
      <c r="E40" s="6" t="s">
        <v>6650</v>
      </c>
      <c r="F40" s="6" t="s">
        <v>7983</v>
      </c>
      <c r="G40" s="5" t="s">
        <v>8560</v>
      </c>
    </row>
    <row r="41" customFormat="false" ht="29.25" hidden="false" customHeight="true" outlineLevel="0" collapsed="false">
      <c r="A41" s="6" t="s">
        <v>7207</v>
      </c>
      <c r="B41" s="6" t="s">
        <v>8600</v>
      </c>
      <c r="C41" s="6" t="s">
        <v>8601</v>
      </c>
      <c r="D41" s="6" t="s">
        <v>8602</v>
      </c>
      <c r="E41" s="6" t="s">
        <v>7202</v>
      </c>
      <c r="F41" s="6" t="s">
        <v>7203</v>
      </c>
      <c r="G41" s="5" t="s">
        <v>8560</v>
      </c>
    </row>
    <row r="42" customFormat="false" ht="43.5" hidden="false" customHeight="true" outlineLevel="0" collapsed="false">
      <c r="A42" s="6" t="s">
        <v>7218</v>
      </c>
      <c r="B42" s="6" t="s">
        <v>8603</v>
      </c>
      <c r="C42" s="6" t="s">
        <v>8604</v>
      </c>
      <c r="D42" s="6" t="s">
        <v>8605</v>
      </c>
      <c r="E42" s="6" t="s">
        <v>8606</v>
      </c>
      <c r="F42" s="6" t="s">
        <v>7215</v>
      </c>
      <c r="G42" s="5" t="s">
        <v>8607</v>
      </c>
    </row>
    <row r="43" customFormat="false" ht="29.25" hidden="false" customHeight="true" outlineLevel="0" collapsed="false">
      <c r="A43" s="6" t="s">
        <v>7230</v>
      </c>
      <c r="B43" s="6" t="s">
        <v>8608</v>
      </c>
      <c r="C43" s="6" t="s">
        <v>8609</v>
      </c>
      <c r="D43" s="6" t="s">
        <v>8610</v>
      </c>
      <c r="E43" s="6" t="s">
        <v>7226</v>
      </c>
      <c r="F43" s="6" t="s">
        <v>7227</v>
      </c>
      <c r="G43" s="5" t="s">
        <v>8560</v>
      </c>
    </row>
    <row r="44" customFormat="false" ht="40.5" hidden="false" customHeight="true" outlineLevel="0" collapsed="false">
      <c r="A44" s="6" t="s">
        <v>7238</v>
      </c>
      <c r="B44" s="6" t="s">
        <v>8611</v>
      </c>
      <c r="C44" s="5" t="s">
        <v>8612</v>
      </c>
      <c r="D44" s="6" t="s">
        <v>8613</v>
      </c>
      <c r="E44" s="6" t="s">
        <v>7234</v>
      </c>
      <c r="F44" s="6" t="s">
        <v>7235</v>
      </c>
      <c r="G44" s="5" t="s">
        <v>8614</v>
      </c>
    </row>
    <row r="45" customFormat="false" ht="29.25" hidden="false" customHeight="true" outlineLevel="0" collapsed="false">
      <c r="A45" s="6" t="s">
        <v>8615</v>
      </c>
      <c r="B45" s="6" t="s">
        <v>8616</v>
      </c>
      <c r="C45" s="6" t="s">
        <v>8617</v>
      </c>
      <c r="D45" s="6" t="s">
        <v>8618</v>
      </c>
      <c r="E45" s="6" t="s">
        <v>6620</v>
      </c>
      <c r="F45" s="6" t="s">
        <v>8619</v>
      </c>
      <c r="G45" s="5" t="s">
        <v>8620</v>
      </c>
    </row>
    <row r="46" customFormat="false" ht="29.25" hidden="false" customHeight="true" outlineLevel="0" collapsed="false">
      <c r="A46" s="6" t="s">
        <v>985</v>
      </c>
      <c r="B46" s="6" t="s">
        <v>8621</v>
      </c>
      <c r="C46" s="5" t="s">
        <v>8622</v>
      </c>
      <c r="D46" s="6" t="s">
        <v>8589</v>
      </c>
      <c r="E46" s="6" t="s">
        <v>7248</v>
      </c>
      <c r="F46" s="6" t="s">
        <v>7249</v>
      </c>
      <c r="G46" s="6" t="s">
        <v>8623</v>
      </c>
    </row>
    <row r="47" customFormat="false" ht="29.25" hidden="false" customHeight="true" outlineLevel="0" collapsed="false">
      <c r="A47" s="6" t="s">
        <v>7267</v>
      </c>
      <c r="B47" s="6" t="s">
        <v>8624</v>
      </c>
      <c r="C47" s="5" t="s">
        <v>8625</v>
      </c>
      <c r="D47" s="6" t="s">
        <v>8589</v>
      </c>
      <c r="E47" s="6" t="s">
        <v>1224</v>
      </c>
      <c r="F47" s="6" t="s">
        <v>7265</v>
      </c>
      <c r="G47" s="5" t="s">
        <v>8590</v>
      </c>
    </row>
    <row r="48" customFormat="false" ht="29.25" hidden="false" customHeight="true" outlineLevel="0" collapsed="false">
      <c r="A48" s="6" t="s">
        <v>7277</v>
      </c>
      <c r="B48" s="6" t="s">
        <v>8626</v>
      </c>
      <c r="C48" s="5" t="s">
        <v>8627</v>
      </c>
      <c r="D48" s="6" t="s">
        <v>8628</v>
      </c>
      <c r="E48" s="6" t="s">
        <v>7273</v>
      </c>
      <c r="F48" s="6" t="s">
        <v>7274</v>
      </c>
      <c r="G48" s="5" t="s">
        <v>8590</v>
      </c>
    </row>
    <row r="49" customFormat="false" ht="29.25" hidden="false" customHeight="true" outlineLevel="0" collapsed="false">
      <c r="A49" s="6" t="s">
        <v>7282</v>
      </c>
      <c r="B49" s="6" t="s">
        <v>8629</v>
      </c>
      <c r="C49" s="5" t="s">
        <v>8630</v>
      </c>
      <c r="D49" s="6" t="s">
        <v>8631</v>
      </c>
      <c r="E49" s="6" t="s">
        <v>7214</v>
      </c>
      <c r="F49" s="6" t="s">
        <v>7280</v>
      </c>
      <c r="G49" s="5" t="s">
        <v>8607</v>
      </c>
    </row>
    <row r="50" customFormat="false" ht="29.25" hidden="false" customHeight="true" outlineLevel="0" collapsed="false">
      <c r="A50" s="6" t="s">
        <v>7291</v>
      </c>
      <c r="B50" s="6" t="s">
        <v>8632</v>
      </c>
      <c r="C50" s="6" t="s">
        <v>8633</v>
      </c>
      <c r="D50" s="6" t="s">
        <v>8596</v>
      </c>
      <c r="E50" s="6" t="s">
        <v>7234</v>
      </c>
      <c r="F50" s="6" t="s">
        <v>7288</v>
      </c>
      <c r="G50" s="5" t="s">
        <v>8560</v>
      </c>
    </row>
    <row r="51" customFormat="false" ht="29.25" hidden="false" customHeight="true" outlineLevel="0" collapsed="false">
      <c r="A51" s="6" t="s">
        <v>7553</v>
      </c>
      <c r="B51" s="6" t="s">
        <v>8634</v>
      </c>
      <c r="C51" s="6" t="s">
        <v>8635</v>
      </c>
      <c r="D51" s="6" t="s">
        <v>8636</v>
      </c>
      <c r="E51" s="6" t="s">
        <v>8637</v>
      </c>
      <c r="F51" s="6" t="s">
        <v>7550</v>
      </c>
      <c r="G51" s="5" t="s">
        <v>8638</v>
      </c>
    </row>
    <row r="52" customFormat="false" ht="29.25" hidden="false" customHeight="true" outlineLevel="0" collapsed="false">
      <c r="A52" s="6" t="s">
        <v>7475</v>
      </c>
      <c r="B52" s="6" t="s">
        <v>8639</v>
      </c>
      <c r="C52" s="6" t="s">
        <v>8640</v>
      </c>
      <c r="D52" s="6" t="s">
        <v>8589</v>
      </c>
      <c r="E52" s="6" t="s">
        <v>7471</v>
      </c>
      <c r="F52" s="6" t="s">
        <v>7472</v>
      </c>
      <c r="G52" s="5" t="s">
        <v>8489</v>
      </c>
    </row>
    <row r="53" customFormat="false" ht="29.25" hidden="false" customHeight="true" outlineLevel="0" collapsed="false">
      <c r="A53" s="6" t="s">
        <v>7677</v>
      </c>
      <c r="B53" s="6" t="s">
        <v>8641</v>
      </c>
      <c r="C53" s="6" t="s">
        <v>8642</v>
      </c>
      <c r="D53" s="6" t="s">
        <v>135</v>
      </c>
      <c r="E53" s="6" t="s">
        <v>1215</v>
      </c>
      <c r="F53" s="6" t="s">
        <v>7674</v>
      </c>
      <c r="G53" s="5" t="s">
        <v>8560</v>
      </c>
    </row>
    <row r="54" customFormat="false" ht="72" hidden="false" customHeight="true" outlineLevel="0" collapsed="false">
      <c r="A54" s="6" t="s">
        <v>7708</v>
      </c>
      <c r="B54" s="6" t="s">
        <v>8643</v>
      </c>
      <c r="C54" s="6" t="s">
        <v>8644</v>
      </c>
      <c r="D54" s="6" t="s">
        <v>8645</v>
      </c>
      <c r="E54" s="6" t="s">
        <v>8646</v>
      </c>
      <c r="F54" s="6" t="s">
        <v>7705</v>
      </c>
      <c r="G54" s="5" t="s">
        <v>8647</v>
      </c>
    </row>
    <row r="55" customFormat="false" ht="29.25" hidden="false" customHeight="true" outlineLevel="0" collapsed="false">
      <c r="A55" s="6" t="s">
        <v>3648</v>
      </c>
      <c r="B55" s="6" t="s">
        <v>8648</v>
      </c>
      <c r="C55" s="6" t="s">
        <v>8649</v>
      </c>
      <c r="D55" s="6" t="s">
        <v>135</v>
      </c>
      <c r="E55" s="6" t="s">
        <v>1236</v>
      </c>
      <c r="F55" s="6" t="s">
        <v>7740</v>
      </c>
      <c r="G55" s="5" t="s">
        <v>8650</v>
      </c>
    </row>
    <row r="56" customFormat="false" ht="29.25" hidden="false" customHeight="true" outlineLevel="0" collapsed="false">
      <c r="A56" s="6" t="s">
        <v>7773</v>
      </c>
      <c r="B56" s="6" t="s">
        <v>8651</v>
      </c>
      <c r="C56" s="6" t="s">
        <v>8652</v>
      </c>
      <c r="D56" s="6" t="s">
        <v>135</v>
      </c>
      <c r="E56" s="6" t="s">
        <v>1236</v>
      </c>
      <c r="F56" s="6" t="s">
        <v>7770</v>
      </c>
      <c r="G56" s="5" t="s">
        <v>8540</v>
      </c>
    </row>
    <row r="57" customFormat="false" ht="43.5" hidden="false" customHeight="true" outlineLevel="0" collapsed="false">
      <c r="A57" s="6" t="s">
        <v>7795</v>
      </c>
      <c r="B57" s="6" t="s">
        <v>8653</v>
      </c>
      <c r="C57" s="6" t="s">
        <v>8654</v>
      </c>
      <c r="D57" s="6" t="s">
        <v>8655</v>
      </c>
      <c r="E57" s="6" t="s">
        <v>8646</v>
      </c>
      <c r="F57" s="6" t="s">
        <v>7792</v>
      </c>
      <c r="G57" s="5" t="s">
        <v>8656</v>
      </c>
    </row>
    <row r="58" customFormat="false" ht="54.75" hidden="false" customHeight="true" outlineLevel="0" collapsed="false">
      <c r="A58" s="6" t="s">
        <v>7832</v>
      </c>
      <c r="B58" s="6" t="s">
        <v>8657</v>
      </c>
      <c r="C58" s="6" t="s">
        <v>8658</v>
      </c>
      <c r="D58" s="6" t="s">
        <v>8659</v>
      </c>
      <c r="E58" s="6" t="s">
        <v>1224</v>
      </c>
      <c r="F58" s="6" t="s">
        <v>7829</v>
      </c>
      <c r="G58" s="5" t="s">
        <v>8660</v>
      </c>
    </row>
    <row r="59" customFormat="false" ht="29.25" hidden="false" customHeight="true" outlineLevel="0" collapsed="false">
      <c r="A59" s="6" t="s">
        <v>7858</v>
      </c>
      <c r="B59" s="6" t="s">
        <v>8661</v>
      </c>
      <c r="C59" s="6" t="s">
        <v>8662</v>
      </c>
      <c r="D59" s="6" t="s">
        <v>345</v>
      </c>
      <c r="E59" s="6" t="s">
        <v>1224</v>
      </c>
      <c r="F59" s="6" t="s">
        <v>7855</v>
      </c>
      <c r="G59" s="5" t="s">
        <v>8663</v>
      </c>
    </row>
    <row r="60" customFormat="false" ht="72" hidden="false" customHeight="true" outlineLevel="0" collapsed="false">
      <c r="A60" s="6" t="s">
        <v>7998</v>
      </c>
      <c r="B60" s="6" t="s">
        <v>8664</v>
      </c>
      <c r="C60" s="5" t="s">
        <v>8665</v>
      </c>
      <c r="D60" s="6" t="s">
        <v>8666</v>
      </c>
      <c r="E60" s="6" t="s">
        <v>6620</v>
      </c>
      <c r="F60" s="6" t="s">
        <v>7995</v>
      </c>
      <c r="G60" s="5" t="s">
        <v>8667</v>
      </c>
    </row>
    <row r="61" customFormat="false" ht="83.25" hidden="false" customHeight="true" outlineLevel="0" collapsed="false">
      <c r="A61" s="6" t="s">
        <v>1978</v>
      </c>
      <c r="B61" s="6" t="s">
        <v>8668</v>
      </c>
      <c r="C61" s="6" t="s">
        <v>8669</v>
      </c>
      <c r="D61" s="6" t="s">
        <v>8670</v>
      </c>
      <c r="E61" s="6" t="s">
        <v>1224</v>
      </c>
      <c r="F61" s="6" t="s">
        <v>7926</v>
      </c>
      <c r="G61" s="6" t="s">
        <v>8671</v>
      </c>
    </row>
    <row r="62" customFormat="false" ht="57.75" hidden="false" customHeight="true" outlineLevel="0" collapsed="false">
      <c r="A62" s="6" t="s">
        <v>1997</v>
      </c>
      <c r="B62" s="6" t="s">
        <v>8672</v>
      </c>
      <c r="C62" s="6" t="s">
        <v>8673</v>
      </c>
      <c r="D62" s="6" t="s">
        <v>8674</v>
      </c>
      <c r="E62" s="6" t="s">
        <v>8675</v>
      </c>
      <c r="F62" s="6" t="s">
        <v>7877</v>
      </c>
      <c r="G62" s="6" t="s">
        <v>8676</v>
      </c>
    </row>
    <row r="63" customFormat="false" ht="40.5" hidden="false" customHeight="true" outlineLevel="0" collapsed="false">
      <c r="A63" s="6" t="s">
        <v>7967</v>
      </c>
      <c r="B63" s="6" t="s">
        <v>8677</v>
      </c>
      <c r="C63" s="6" t="s">
        <v>8678</v>
      </c>
      <c r="D63" s="6" t="s">
        <v>8679</v>
      </c>
      <c r="E63" s="6" t="s">
        <v>1224</v>
      </c>
      <c r="F63" s="6" t="s">
        <v>7964</v>
      </c>
      <c r="G63" s="5" t="s">
        <v>8680</v>
      </c>
    </row>
    <row r="64" customFormat="false" ht="29.25" hidden="false" customHeight="true" outlineLevel="0" collapsed="false">
      <c r="A64" s="6" t="s">
        <v>7977</v>
      </c>
      <c r="B64" s="6" t="s">
        <v>8681</v>
      </c>
      <c r="C64" s="6" t="s">
        <v>8682</v>
      </c>
      <c r="D64" s="6" t="s">
        <v>8683</v>
      </c>
      <c r="E64" s="6" t="s">
        <v>1224</v>
      </c>
      <c r="F64" s="6" t="s">
        <v>7974</v>
      </c>
      <c r="G64" s="5" t="s">
        <v>8684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21" t="s">
        <v>8685</v>
      </c>
    </row>
    <row r="2" customFormat="false" ht="15" hidden="false" customHeight="true" outlineLevel="0" collapsed="false">
      <c r="A2" s="233" t="s">
        <v>8686</v>
      </c>
    </row>
    <row r="3" customFormat="false" ht="15" hidden="false" customHeight="true" outlineLevel="0" collapsed="false">
      <c r="A3" s="43" t="s">
        <v>8687</v>
      </c>
    </row>
    <row r="4" customFormat="false" ht="15" hidden="false" customHeight="true" outlineLevel="0" collapsed="false">
      <c r="A4" s="84" t="s">
        <v>599</v>
      </c>
      <c r="B4" s="222" t="s">
        <v>5819</v>
      </c>
      <c r="C4" s="222" t="s">
        <v>8688</v>
      </c>
      <c r="D4" s="222" t="s">
        <v>8689</v>
      </c>
      <c r="E4" s="222" t="s">
        <v>87</v>
      </c>
      <c r="F4" s="222" t="s">
        <v>8690</v>
      </c>
      <c r="G4" s="84" t="s">
        <v>8691</v>
      </c>
      <c r="H4" s="222" t="s">
        <v>8692</v>
      </c>
      <c r="I4" s="222" t="s">
        <v>8693</v>
      </c>
      <c r="J4" s="222" t="s">
        <v>8694</v>
      </c>
      <c r="K4" s="222" t="s">
        <v>6599</v>
      </c>
      <c r="L4" s="222" t="s">
        <v>8695</v>
      </c>
      <c r="M4" s="222" t="s">
        <v>8696</v>
      </c>
      <c r="N4" s="222" t="s">
        <v>6592</v>
      </c>
      <c r="O4" s="222" t="s">
        <v>8697</v>
      </c>
      <c r="P4" s="222" t="s">
        <v>5993</v>
      </c>
      <c r="Q4" s="222" t="s">
        <v>6589</v>
      </c>
    </row>
    <row r="5" customFormat="false" ht="30" hidden="false" customHeight="true" outlineLevel="0" collapsed="false">
      <c r="A5" s="226" t="s">
        <v>6834</v>
      </c>
      <c r="B5" s="226" t="s">
        <v>5880</v>
      </c>
      <c r="C5" s="235" t="s">
        <v>8698</v>
      </c>
      <c r="D5" s="226" t="s">
        <v>8699</v>
      </c>
      <c r="E5" s="226" t="s">
        <v>212</v>
      </c>
      <c r="F5" s="235" t="s">
        <v>8700</v>
      </c>
      <c r="G5" s="226" t="s">
        <v>8701</v>
      </c>
      <c r="H5" s="226" t="s">
        <v>8702</v>
      </c>
      <c r="I5" s="236" t="s">
        <v>8703</v>
      </c>
      <c r="J5" s="226" t="s">
        <v>8704</v>
      </c>
      <c r="K5" s="235" t="s">
        <v>8705</v>
      </c>
      <c r="L5" s="224" t="s">
        <v>8706</v>
      </c>
      <c r="M5" s="6" t="s">
        <v>8707</v>
      </c>
      <c r="N5" s="28" t="s">
        <v>620</v>
      </c>
      <c r="O5" s="28" t="s">
        <v>620</v>
      </c>
      <c r="P5" s="28" t="s">
        <v>620</v>
      </c>
      <c r="Q5" s="6" t="s">
        <v>620</v>
      </c>
    </row>
    <row r="6" customFormat="false" ht="30" hidden="false" customHeight="true" outlineLevel="0" collapsed="false">
      <c r="A6" s="226" t="s">
        <v>8708</v>
      </c>
      <c r="B6" s="226" t="s">
        <v>5880</v>
      </c>
      <c r="C6" s="235" t="s">
        <v>8709</v>
      </c>
      <c r="D6" s="226" t="s">
        <v>7189</v>
      </c>
      <c r="E6" s="226" t="s">
        <v>135</v>
      </c>
      <c r="F6" s="235" t="s">
        <v>8710</v>
      </c>
      <c r="G6" s="236" t="s">
        <v>8711</v>
      </c>
      <c r="H6" s="226" t="s">
        <v>8712</v>
      </c>
      <c r="I6" s="236" t="s">
        <v>8703</v>
      </c>
      <c r="J6" s="226" t="s">
        <v>8704</v>
      </c>
      <c r="K6" s="235"/>
      <c r="L6" s="224" t="s">
        <v>8706</v>
      </c>
      <c r="M6" s="6" t="s">
        <v>8713</v>
      </c>
      <c r="N6" s="28" t="s">
        <v>620</v>
      </c>
      <c r="O6" s="28" t="s">
        <v>620</v>
      </c>
      <c r="P6" s="28" t="s">
        <v>620</v>
      </c>
      <c r="Q6" s="6" t="s">
        <v>620</v>
      </c>
    </row>
    <row r="7" customFormat="false" ht="30" hidden="false" customHeight="true" outlineLevel="0" collapsed="false">
      <c r="A7" s="226" t="s">
        <v>8714</v>
      </c>
      <c r="B7" s="226" t="s">
        <v>5880</v>
      </c>
      <c r="C7" s="235" t="s">
        <v>8715</v>
      </c>
      <c r="D7" s="226" t="s">
        <v>6818</v>
      </c>
      <c r="E7" s="226" t="s">
        <v>212</v>
      </c>
      <c r="F7" s="235" t="s">
        <v>8716</v>
      </c>
      <c r="G7" s="236" t="s">
        <v>8711</v>
      </c>
      <c r="H7" s="226" t="s">
        <v>8717</v>
      </c>
      <c r="I7" s="236" t="s">
        <v>8703</v>
      </c>
      <c r="J7" s="226" t="s">
        <v>8704</v>
      </c>
      <c r="K7" s="235"/>
      <c r="L7" s="224" t="s">
        <v>8706</v>
      </c>
      <c r="M7" s="6" t="s">
        <v>8718</v>
      </c>
      <c r="N7" s="28" t="s">
        <v>620</v>
      </c>
      <c r="O7" s="28" t="s">
        <v>620</v>
      </c>
      <c r="P7" s="28" t="s">
        <v>620</v>
      </c>
      <c r="Q7" s="6" t="s">
        <v>620</v>
      </c>
    </row>
    <row r="8" customFormat="false" ht="30" hidden="false" customHeight="true" outlineLevel="0" collapsed="false">
      <c r="A8" s="226" t="s">
        <v>8719</v>
      </c>
      <c r="B8" s="226" t="s">
        <v>5880</v>
      </c>
      <c r="C8" s="237" t="s">
        <v>8720</v>
      </c>
      <c r="D8" s="226" t="s">
        <v>7986</v>
      </c>
      <c r="E8" s="226" t="s">
        <v>104</v>
      </c>
      <c r="F8" s="235" t="s">
        <v>8721</v>
      </c>
      <c r="G8" s="236" t="s">
        <v>8711</v>
      </c>
      <c r="H8" s="226" t="s">
        <v>8722</v>
      </c>
      <c r="I8" s="236" t="s">
        <v>8723</v>
      </c>
      <c r="J8" s="226" t="s">
        <v>8704</v>
      </c>
      <c r="K8" s="237" t="s">
        <v>8724</v>
      </c>
      <c r="L8" s="224" t="s">
        <v>8706</v>
      </c>
      <c r="M8" s="6" t="s">
        <v>8725</v>
      </c>
      <c r="N8" s="28" t="s">
        <v>620</v>
      </c>
      <c r="O8" s="28" t="s">
        <v>620</v>
      </c>
      <c r="P8" s="28" t="s">
        <v>620</v>
      </c>
      <c r="Q8" s="6" t="s">
        <v>620</v>
      </c>
    </row>
    <row r="9" customFormat="false" ht="30" hidden="false" customHeight="true" outlineLevel="0" collapsed="false">
      <c r="A9" s="226" t="s">
        <v>8726</v>
      </c>
      <c r="B9" s="226" t="s">
        <v>5880</v>
      </c>
      <c r="C9" s="235" t="s">
        <v>8727</v>
      </c>
      <c r="D9" s="226" t="s">
        <v>7238</v>
      </c>
      <c r="E9" s="226" t="s">
        <v>212</v>
      </c>
      <c r="F9" s="235" t="s">
        <v>8728</v>
      </c>
      <c r="G9" s="226" t="s">
        <v>620</v>
      </c>
      <c r="H9" s="226" t="s">
        <v>8729</v>
      </c>
      <c r="I9" s="236" t="s">
        <v>8730</v>
      </c>
      <c r="J9" s="226" t="s">
        <v>8704</v>
      </c>
      <c r="K9" s="237" t="s">
        <v>8731</v>
      </c>
      <c r="L9" s="224" t="s">
        <v>8706</v>
      </c>
      <c r="M9" s="6" t="s">
        <v>8732</v>
      </c>
      <c r="N9" s="28" t="s">
        <v>620</v>
      </c>
      <c r="O9" s="28" t="s">
        <v>620</v>
      </c>
      <c r="P9" s="28" t="s">
        <v>620</v>
      </c>
      <c r="Q9" s="6" t="s">
        <v>620</v>
      </c>
    </row>
    <row r="10" customFormat="false" ht="30" hidden="false" customHeight="true" outlineLevel="0" collapsed="false">
      <c r="A10" s="226" t="s">
        <v>8733</v>
      </c>
      <c r="B10" s="226" t="s">
        <v>5880</v>
      </c>
      <c r="C10" s="237" t="s">
        <v>8734</v>
      </c>
      <c r="D10" s="226" t="s">
        <v>7207</v>
      </c>
      <c r="E10" s="226" t="s">
        <v>104</v>
      </c>
      <c r="F10" s="235" t="s">
        <v>8735</v>
      </c>
      <c r="G10" s="226" t="s">
        <v>8736</v>
      </c>
      <c r="H10" s="236" t="s">
        <v>8737</v>
      </c>
      <c r="I10" s="236" t="s">
        <v>1230</v>
      </c>
      <c r="J10" s="226" t="s">
        <v>620</v>
      </c>
      <c r="K10" s="235" t="s">
        <v>8738</v>
      </c>
      <c r="L10" s="224" t="s">
        <v>8739</v>
      </c>
      <c r="M10" s="6" t="s">
        <v>5360</v>
      </c>
      <c r="N10" s="28" t="s">
        <v>620</v>
      </c>
      <c r="O10" s="28" t="s">
        <v>620</v>
      </c>
      <c r="P10" s="28" t="s">
        <v>620</v>
      </c>
      <c r="Q10" s="6" t="s">
        <v>620</v>
      </c>
    </row>
    <row r="11" customFormat="false" ht="30" hidden="false" customHeight="true" outlineLevel="0" collapsed="false">
      <c r="A11" s="226" t="s">
        <v>8740</v>
      </c>
      <c r="B11" s="226" t="s">
        <v>1236</v>
      </c>
      <c r="C11" s="237" t="s">
        <v>8741</v>
      </c>
      <c r="D11" s="226" t="s">
        <v>8742</v>
      </c>
      <c r="E11" s="226" t="s">
        <v>212</v>
      </c>
      <c r="F11" s="235" t="s">
        <v>8743</v>
      </c>
      <c r="G11" s="226" t="s">
        <v>8744</v>
      </c>
      <c r="H11" s="226" t="s">
        <v>8745</v>
      </c>
      <c r="I11" s="236" t="s">
        <v>8703</v>
      </c>
      <c r="J11" s="226" t="s">
        <v>8746</v>
      </c>
      <c r="K11" s="235" t="s">
        <v>8747</v>
      </c>
      <c r="L11" s="224" t="s">
        <v>8706</v>
      </c>
      <c r="M11" s="6" t="s">
        <v>8748</v>
      </c>
      <c r="N11" s="28" t="s">
        <v>620</v>
      </c>
      <c r="O11" s="28" t="s">
        <v>620</v>
      </c>
      <c r="P11" s="28" t="s">
        <v>620</v>
      </c>
      <c r="Q11" s="6" t="s">
        <v>620</v>
      </c>
    </row>
    <row r="12" customFormat="false" ht="30" hidden="false" customHeight="true" outlineLevel="0" collapsed="false">
      <c r="A12" s="226" t="s">
        <v>8749</v>
      </c>
      <c r="B12" s="226" t="s">
        <v>1236</v>
      </c>
      <c r="C12" s="237" t="s">
        <v>8750</v>
      </c>
      <c r="D12" s="226" t="s">
        <v>8615</v>
      </c>
      <c r="E12" s="226" t="s">
        <v>135</v>
      </c>
      <c r="F12" s="235" t="s">
        <v>8751</v>
      </c>
      <c r="G12" s="226" t="s">
        <v>8752</v>
      </c>
      <c r="H12" s="226" t="s">
        <v>218</v>
      </c>
      <c r="I12" s="236" t="s">
        <v>8753</v>
      </c>
      <c r="J12" s="226" t="s">
        <v>8704</v>
      </c>
      <c r="K12" s="237" t="s">
        <v>8754</v>
      </c>
      <c r="L12" s="224" t="s">
        <v>8706</v>
      </c>
      <c r="M12" s="6" t="s">
        <v>620</v>
      </c>
      <c r="N12" s="28" t="s">
        <v>620</v>
      </c>
      <c r="O12" s="28" t="s">
        <v>620</v>
      </c>
      <c r="P12" s="28" t="s">
        <v>620</v>
      </c>
      <c r="Q12" s="19" t="s">
        <v>8755</v>
      </c>
    </row>
    <row r="13" customFormat="false" ht="30" hidden="false" customHeight="true" outlineLevel="0" collapsed="false">
      <c r="A13" s="226" t="s">
        <v>8756</v>
      </c>
      <c r="B13" s="226" t="s">
        <v>1236</v>
      </c>
      <c r="C13" s="235" t="s">
        <v>8757</v>
      </c>
      <c r="D13" s="226" t="s">
        <v>7553</v>
      </c>
      <c r="E13" s="226" t="s">
        <v>104</v>
      </c>
      <c r="F13" s="235" t="s">
        <v>8758</v>
      </c>
      <c r="G13" s="226" t="s">
        <v>620</v>
      </c>
      <c r="H13" s="236" t="s">
        <v>8759</v>
      </c>
      <c r="I13" s="236" t="s">
        <v>8730</v>
      </c>
      <c r="J13" s="226" t="s">
        <v>8746</v>
      </c>
      <c r="K13" s="237" t="s">
        <v>8760</v>
      </c>
      <c r="L13" s="224" t="s">
        <v>8706</v>
      </c>
      <c r="M13" s="6" t="s">
        <v>8761</v>
      </c>
      <c r="N13" s="28" t="s">
        <v>620</v>
      </c>
      <c r="O13" s="28" t="s">
        <v>620</v>
      </c>
      <c r="P13" s="28" t="s">
        <v>620</v>
      </c>
      <c r="Q13" s="6" t="s">
        <v>620</v>
      </c>
    </row>
    <row r="14" customFormat="false" ht="30" hidden="false" customHeight="true" outlineLevel="0" collapsed="false">
      <c r="A14" s="226" t="s">
        <v>8762</v>
      </c>
      <c r="B14" s="226" t="s">
        <v>1236</v>
      </c>
      <c r="C14" s="235" t="s">
        <v>8763</v>
      </c>
      <c r="D14" s="226" t="s">
        <v>7998</v>
      </c>
      <c r="E14" s="226" t="s">
        <v>212</v>
      </c>
      <c r="F14" s="235" t="s">
        <v>8764</v>
      </c>
      <c r="G14" s="236" t="s">
        <v>8711</v>
      </c>
      <c r="H14" s="226" t="s">
        <v>8765</v>
      </c>
      <c r="I14" s="236" t="s">
        <v>8703</v>
      </c>
      <c r="J14" s="226" t="s">
        <v>8766</v>
      </c>
      <c r="K14" s="237" t="s">
        <v>8767</v>
      </c>
      <c r="L14" s="224" t="s">
        <v>8706</v>
      </c>
      <c r="M14" s="6" t="s">
        <v>8768</v>
      </c>
      <c r="N14" s="28" t="s">
        <v>620</v>
      </c>
      <c r="O14" s="28" t="s">
        <v>620</v>
      </c>
      <c r="P14" s="28" t="s">
        <v>620</v>
      </c>
      <c r="Q14" s="6" t="s">
        <v>620</v>
      </c>
    </row>
    <row r="15" customFormat="false" ht="30" hidden="false" customHeight="true" outlineLevel="0" collapsed="false">
      <c r="A15" s="226" t="s">
        <v>8769</v>
      </c>
      <c r="B15" s="226" t="s">
        <v>1236</v>
      </c>
      <c r="C15" s="235" t="s">
        <v>8770</v>
      </c>
      <c r="D15" s="226" t="s">
        <v>3648</v>
      </c>
      <c r="E15" s="226" t="s">
        <v>135</v>
      </c>
      <c r="F15" s="235" t="s">
        <v>8771</v>
      </c>
      <c r="G15" s="236" t="s">
        <v>8772</v>
      </c>
      <c r="H15" s="236" t="s">
        <v>8773</v>
      </c>
      <c r="I15" s="236" t="s">
        <v>8703</v>
      </c>
      <c r="J15" s="226" t="s">
        <v>8766</v>
      </c>
      <c r="K15" s="237" t="s">
        <v>8774</v>
      </c>
      <c r="L15" s="224" t="s">
        <v>8706</v>
      </c>
      <c r="M15" s="6" t="s">
        <v>8775</v>
      </c>
      <c r="N15" s="28" t="s">
        <v>620</v>
      </c>
      <c r="O15" s="28" t="s">
        <v>620</v>
      </c>
      <c r="P15" s="28" t="s">
        <v>620</v>
      </c>
      <c r="Q15" s="6" t="s">
        <v>620</v>
      </c>
    </row>
    <row r="16" customFormat="false" ht="30" hidden="false" customHeight="true" outlineLevel="0" collapsed="false">
      <c r="A16" s="226" t="s">
        <v>8776</v>
      </c>
      <c r="B16" s="226" t="s">
        <v>1236</v>
      </c>
      <c r="C16" s="237" t="s">
        <v>8777</v>
      </c>
      <c r="D16" s="226" t="s">
        <v>8778</v>
      </c>
      <c r="E16" s="226" t="s">
        <v>212</v>
      </c>
      <c r="F16" s="235" t="s">
        <v>8779</v>
      </c>
      <c r="G16" s="226" t="s">
        <v>620</v>
      </c>
      <c r="H16" s="236" t="s">
        <v>8780</v>
      </c>
      <c r="I16" s="236" t="s">
        <v>8730</v>
      </c>
      <c r="J16" s="226" t="s">
        <v>8766</v>
      </c>
      <c r="K16" s="237" t="s">
        <v>8781</v>
      </c>
      <c r="L16" s="224" t="s">
        <v>8706</v>
      </c>
      <c r="M16" s="6" t="s">
        <v>8782</v>
      </c>
      <c r="N16" s="28" t="s">
        <v>620</v>
      </c>
      <c r="O16" s="28" t="s">
        <v>620</v>
      </c>
      <c r="P16" s="28" t="s">
        <v>620</v>
      </c>
      <c r="Q16" s="6" t="s">
        <v>620</v>
      </c>
    </row>
    <row r="17" customFormat="false" ht="30" hidden="false" customHeight="true" outlineLevel="0" collapsed="false">
      <c r="A17" s="226" t="s">
        <v>8783</v>
      </c>
      <c r="B17" s="226" t="s">
        <v>1236</v>
      </c>
      <c r="C17" s="235" t="s">
        <v>8784</v>
      </c>
      <c r="D17" s="226" t="s">
        <v>7832</v>
      </c>
      <c r="E17" s="226" t="s">
        <v>345</v>
      </c>
      <c r="F17" s="235" t="s">
        <v>8785</v>
      </c>
      <c r="G17" s="226" t="s">
        <v>620</v>
      </c>
      <c r="H17" s="226" t="s">
        <v>8786</v>
      </c>
      <c r="I17" s="236" t="s">
        <v>8730</v>
      </c>
      <c r="J17" s="226" t="s">
        <v>8766</v>
      </c>
      <c r="K17" s="237" t="s">
        <v>8787</v>
      </c>
      <c r="L17" s="224" t="s">
        <v>8706</v>
      </c>
      <c r="M17" s="6" t="s">
        <v>8788</v>
      </c>
      <c r="N17" s="28" t="s">
        <v>620</v>
      </c>
      <c r="O17" s="28" t="s">
        <v>620</v>
      </c>
      <c r="P17" s="28" t="s">
        <v>620</v>
      </c>
      <c r="Q17" s="6" t="s">
        <v>620</v>
      </c>
    </row>
    <row r="18" customFormat="false" ht="30" hidden="false" customHeight="true" outlineLevel="0" collapsed="false">
      <c r="A18" s="226" t="s">
        <v>8789</v>
      </c>
      <c r="B18" s="226" t="s">
        <v>1236</v>
      </c>
      <c r="C18" s="235" t="s">
        <v>8790</v>
      </c>
      <c r="D18" s="226" t="s">
        <v>7708</v>
      </c>
      <c r="E18" s="226" t="s">
        <v>212</v>
      </c>
      <c r="F18" s="235" t="s">
        <v>8791</v>
      </c>
      <c r="G18" s="226" t="s">
        <v>620</v>
      </c>
      <c r="H18" s="236" t="s">
        <v>8792</v>
      </c>
      <c r="I18" s="236" t="s">
        <v>1230</v>
      </c>
      <c r="J18" s="226" t="s">
        <v>620</v>
      </c>
      <c r="K18" s="237" t="s">
        <v>8793</v>
      </c>
      <c r="L18" s="224" t="s">
        <v>8739</v>
      </c>
      <c r="M18" s="6" t="s">
        <v>8794</v>
      </c>
      <c r="N18" s="28" t="s">
        <v>620</v>
      </c>
      <c r="O18" s="28" t="s">
        <v>620</v>
      </c>
      <c r="P18" s="28" t="s">
        <v>620</v>
      </c>
      <c r="Q18" s="6" t="s">
        <v>620</v>
      </c>
    </row>
    <row r="19" customFormat="false" ht="30" hidden="false" customHeight="true" outlineLevel="0" collapsed="false">
      <c r="A19" s="226" t="s">
        <v>8795</v>
      </c>
      <c r="B19" s="226" t="s">
        <v>1236</v>
      </c>
      <c r="C19" s="235" t="s">
        <v>8796</v>
      </c>
      <c r="D19" s="226" t="s">
        <v>7795</v>
      </c>
      <c r="E19" s="226" t="s">
        <v>212</v>
      </c>
      <c r="F19" s="235" t="s">
        <v>8797</v>
      </c>
      <c r="G19" s="226" t="s">
        <v>620</v>
      </c>
      <c r="H19" s="236" t="s">
        <v>1252</v>
      </c>
      <c r="I19" s="236" t="s">
        <v>1230</v>
      </c>
      <c r="J19" s="226" t="s">
        <v>620</v>
      </c>
      <c r="K19" s="235"/>
      <c r="L19" s="224" t="s">
        <v>8739</v>
      </c>
      <c r="M19" s="6" t="s">
        <v>8798</v>
      </c>
      <c r="N19" s="28" t="s">
        <v>620</v>
      </c>
      <c r="O19" s="28" t="s">
        <v>620</v>
      </c>
      <c r="P19" s="28" t="s">
        <v>620</v>
      </c>
      <c r="Q19" s="6" t="s">
        <v>620</v>
      </c>
    </row>
    <row r="20" customFormat="false" ht="30" hidden="false" customHeight="true" outlineLevel="0" collapsed="false">
      <c r="A20" s="226" t="s">
        <v>8799</v>
      </c>
      <c r="B20" s="226" t="s">
        <v>1236</v>
      </c>
      <c r="C20" s="235" t="s">
        <v>8800</v>
      </c>
      <c r="D20" s="226" t="s">
        <v>1978</v>
      </c>
      <c r="E20" s="226" t="s">
        <v>8801</v>
      </c>
      <c r="F20" s="235" t="s">
        <v>8802</v>
      </c>
      <c r="G20" s="236" t="s">
        <v>8711</v>
      </c>
      <c r="H20" s="226" t="s">
        <v>8803</v>
      </c>
      <c r="I20" s="236" t="s">
        <v>8730</v>
      </c>
      <c r="J20" s="226" t="s">
        <v>8804</v>
      </c>
      <c r="K20" s="237" t="s">
        <v>8805</v>
      </c>
      <c r="L20" s="224" t="s">
        <v>8706</v>
      </c>
      <c r="M20" s="6" t="s">
        <v>8806</v>
      </c>
      <c r="N20" s="28" t="s">
        <v>620</v>
      </c>
      <c r="O20" s="28" t="s">
        <v>620</v>
      </c>
      <c r="P20" s="28" t="s">
        <v>620</v>
      </c>
      <c r="Q20" s="6" t="s">
        <v>620</v>
      </c>
    </row>
    <row r="21" customFormat="false" ht="30" hidden="false" customHeight="true" outlineLevel="0" collapsed="false">
      <c r="A21" s="226" t="s">
        <v>8807</v>
      </c>
      <c r="B21" s="226" t="s">
        <v>1236</v>
      </c>
      <c r="C21" s="235" t="s">
        <v>8808</v>
      </c>
      <c r="D21" s="226" t="s">
        <v>7919</v>
      </c>
      <c r="E21" s="226" t="s">
        <v>212</v>
      </c>
      <c r="F21" s="235" t="s">
        <v>8809</v>
      </c>
      <c r="G21" s="226" t="s">
        <v>620</v>
      </c>
      <c r="H21" s="226" t="s">
        <v>8810</v>
      </c>
      <c r="I21" s="236" t="s">
        <v>8730</v>
      </c>
      <c r="J21" s="226" t="s">
        <v>8804</v>
      </c>
      <c r="K21" s="235" t="s">
        <v>8811</v>
      </c>
      <c r="L21" s="224" t="s">
        <v>8706</v>
      </c>
      <c r="M21" s="6" t="s">
        <v>8812</v>
      </c>
      <c r="N21" s="28" t="s">
        <v>620</v>
      </c>
      <c r="O21" s="28" t="s">
        <v>620</v>
      </c>
      <c r="P21" s="28" t="s">
        <v>620</v>
      </c>
      <c r="Q21" s="6" t="s">
        <v>620</v>
      </c>
    </row>
    <row r="22" customFormat="false" ht="30" hidden="false" customHeight="true" outlineLevel="0" collapsed="false">
      <c r="A22" s="226" t="s">
        <v>8813</v>
      </c>
      <c r="B22" s="226" t="s">
        <v>1236</v>
      </c>
      <c r="C22" s="235" t="s">
        <v>8814</v>
      </c>
      <c r="D22" s="226" t="s">
        <v>1997</v>
      </c>
      <c r="E22" s="226" t="s">
        <v>345</v>
      </c>
      <c r="F22" s="235" t="s">
        <v>8815</v>
      </c>
      <c r="G22" s="226" t="s">
        <v>620</v>
      </c>
      <c r="H22" s="226" t="s">
        <v>8816</v>
      </c>
      <c r="I22" s="236" t="s">
        <v>8730</v>
      </c>
      <c r="J22" s="226" t="s">
        <v>8804</v>
      </c>
      <c r="K22" s="235" t="s">
        <v>8817</v>
      </c>
      <c r="L22" s="224" t="s">
        <v>8706</v>
      </c>
      <c r="M22" s="6" t="s">
        <v>8818</v>
      </c>
      <c r="N22" s="28" t="s">
        <v>620</v>
      </c>
      <c r="O22" s="28" t="s">
        <v>620</v>
      </c>
      <c r="P22" s="28" t="s">
        <v>620</v>
      </c>
      <c r="Q22" s="6" t="s">
        <v>620</v>
      </c>
    </row>
    <row r="23" customFormat="false" ht="30" hidden="false" customHeight="true" outlineLevel="0" collapsed="false">
      <c r="A23" s="226" t="s">
        <v>8819</v>
      </c>
      <c r="B23" s="226" t="s">
        <v>1236</v>
      </c>
      <c r="C23" s="235" t="s">
        <v>8820</v>
      </c>
      <c r="D23" s="226" t="s">
        <v>1997</v>
      </c>
      <c r="E23" s="226" t="s">
        <v>345</v>
      </c>
      <c r="F23" s="235" t="s">
        <v>8821</v>
      </c>
      <c r="G23" s="226" t="s">
        <v>620</v>
      </c>
      <c r="H23" s="226" t="s">
        <v>8822</v>
      </c>
      <c r="I23" s="236" t="s">
        <v>8703</v>
      </c>
      <c r="J23" s="226" t="s">
        <v>8804</v>
      </c>
      <c r="K23" s="235"/>
      <c r="L23" s="224" t="s">
        <v>8706</v>
      </c>
      <c r="M23" s="6" t="s">
        <v>8818</v>
      </c>
      <c r="N23" s="28" t="s">
        <v>620</v>
      </c>
      <c r="O23" s="28" t="s">
        <v>620</v>
      </c>
      <c r="P23" s="28" t="s">
        <v>620</v>
      </c>
      <c r="Q23" s="6" t="s">
        <v>620</v>
      </c>
    </row>
    <row r="24" customFormat="false" ht="30" hidden="false" customHeight="true" outlineLevel="0" collapsed="false">
      <c r="A24" s="226" t="s">
        <v>8823</v>
      </c>
      <c r="B24" s="226" t="s">
        <v>1236</v>
      </c>
      <c r="C24" s="235" t="s">
        <v>8824</v>
      </c>
      <c r="D24" s="226" t="s">
        <v>7977</v>
      </c>
      <c r="E24" s="226" t="s">
        <v>212</v>
      </c>
      <c r="F24" s="235" t="s">
        <v>8825</v>
      </c>
      <c r="G24" s="226" t="s">
        <v>8826</v>
      </c>
      <c r="H24" s="226" t="s">
        <v>8827</v>
      </c>
      <c r="I24" s="236" t="s">
        <v>1230</v>
      </c>
      <c r="J24" s="226" t="s">
        <v>620</v>
      </c>
      <c r="K24" s="237" t="s">
        <v>8828</v>
      </c>
      <c r="L24" s="224" t="s">
        <v>8739</v>
      </c>
      <c r="M24" s="6" t="s">
        <v>7971</v>
      </c>
      <c r="N24" s="28" t="s">
        <v>620</v>
      </c>
      <c r="O24" s="28" t="s">
        <v>620</v>
      </c>
      <c r="P24" s="28" t="s">
        <v>620</v>
      </c>
      <c r="Q24" s="6" t="s">
        <v>620</v>
      </c>
    </row>
    <row r="25" customFormat="false" ht="29.25" hidden="false" customHeight="true" outlineLevel="0" collapsed="false">
      <c r="A25" s="226" t="s">
        <v>8829</v>
      </c>
      <c r="B25" s="226" t="s">
        <v>5943</v>
      </c>
      <c r="C25" s="235" t="s">
        <v>8830</v>
      </c>
      <c r="D25" s="226" t="s">
        <v>6116</v>
      </c>
      <c r="E25" s="236" t="s">
        <v>8831</v>
      </c>
      <c r="F25" s="236" t="s">
        <v>8832</v>
      </c>
      <c r="G25" s="226" t="s">
        <v>620</v>
      </c>
      <c r="H25" s="226" t="s">
        <v>620</v>
      </c>
      <c r="I25" s="236" t="s">
        <v>8833</v>
      </c>
      <c r="J25" s="226" t="s">
        <v>8834</v>
      </c>
      <c r="K25" s="235" t="s">
        <v>8835</v>
      </c>
      <c r="L25" s="224" t="s">
        <v>8706</v>
      </c>
      <c r="M25" s="6" t="s">
        <v>4074</v>
      </c>
      <c r="N25" s="28" t="s">
        <v>620</v>
      </c>
      <c r="O25" s="28" t="s">
        <v>620</v>
      </c>
      <c r="P25" s="28" t="s">
        <v>8836</v>
      </c>
      <c r="Q25" s="224" t="s">
        <v>6610</v>
      </c>
    </row>
    <row r="26" customFormat="false" ht="29.25" hidden="false" customHeight="true" outlineLevel="0" collapsed="false">
      <c r="A26" s="226" t="s">
        <v>6624</v>
      </c>
      <c r="B26" s="226" t="s">
        <v>5943</v>
      </c>
      <c r="C26" s="235" t="s">
        <v>8837</v>
      </c>
      <c r="D26" s="226" t="s">
        <v>6125</v>
      </c>
      <c r="E26" s="236" t="s">
        <v>8831</v>
      </c>
      <c r="F26" s="236" t="s">
        <v>8832</v>
      </c>
      <c r="G26" s="226" t="s">
        <v>620</v>
      </c>
      <c r="H26" s="226" t="s">
        <v>620</v>
      </c>
      <c r="I26" s="236" t="s">
        <v>8833</v>
      </c>
      <c r="J26" s="226" t="s">
        <v>8834</v>
      </c>
      <c r="K26" s="235" t="s">
        <v>8835</v>
      </c>
      <c r="L26" s="224" t="s">
        <v>8706</v>
      </c>
      <c r="M26" s="6" t="s">
        <v>8838</v>
      </c>
      <c r="N26" s="28" t="s">
        <v>620</v>
      </c>
      <c r="O26" s="28" t="s">
        <v>620</v>
      </c>
      <c r="P26" s="28" t="s">
        <v>8836</v>
      </c>
      <c r="Q26" s="224" t="s">
        <v>6610</v>
      </c>
    </row>
    <row r="27" customFormat="false" ht="29.25" hidden="false" customHeight="true" outlineLevel="0" collapsed="false">
      <c r="A27" s="226" t="s">
        <v>8839</v>
      </c>
      <c r="B27" s="226" t="s">
        <v>5943</v>
      </c>
      <c r="C27" s="235" t="s">
        <v>8840</v>
      </c>
      <c r="D27" s="226" t="s">
        <v>6638</v>
      </c>
      <c r="E27" s="236" t="s">
        <v>8831</v>
      </c>
      <c r="F27" s="236" t="s">
        <v>8832</v>
      </c>
      <c r="G27" s="226" t="s">
        <v>620</v>
      </c>
      <c r="H27" s="226" t="s">
        <v>620</v>
      </c>
      <c r="I27" s="236" t="s">
        <v>8833</v>
      </c>
      <c r="J27" s="226" t="s">
        <v>8834</v>
      </c>
      <c r="K27" s="235" t="s">
        <v>8835</v>
      </c>
      <c r="L27" s="224" t="s">
        <v>8706</v>
      </c>
      <c r="M27" s="6" t="s">
        <v>8841</v>
      </c>
      <c r="N27" s="28" t="s">
        <v>620</v>
      </c>
      <c r="O27" s="28" t="s">
        <v>620</v>
      </c>
      <c r="P27" s="28" t="s">
        <v>8836</v>
      </c>
      <c r="Q27" s="224" t="s">
        <v>6610</v>
      </c>
    </row>
    <row r="28" customFormat="false" ht="29.25" hidden="false" customHeight="true" outlineLevel="0" collapsed="false">
      <c r="A28" s="226" t="s">
        <v>6665</v>
      </c>
      <c r="B28" s="226" t="s">
        <v>5943</v>
      </c>
      <c r="C28" s="235" t="s">
        <v>8842</v>
      </c>
      <c r="D28" s="226" t="s">
        <v>6654</v>
      </c>
      <c r="E28" s="236" t="s">
        <v>8831</v>
      </c>
      <c r="F28" s="236" t="s">
        <v>8832</v>
      </c>
      <c r="G28" s="226" t="s">
        <v>620</v>
      </c>
      <c r="H28" s="226" t="s">
        <v>620</v>
      </c>
      <c r="I28" s="236" t="s">
        <v>8833</v>
      </c>
      <c r="J28" s="226" t="s">
        <v>8834</v>
      </c>
      <c r="K28" s="235" t="s">
        <v>8835</v>
      </c>
      <c r="L28" s="224" t="s">
        <v>8706</v>
      </c>
      <c r="M28" s="6" t="s">
        <v>8843</v>
      </c>
      <c r="N28" s="28" t="s">
        <v>620</v>
      </c>
      <c r="O28" s="28" t="s">
        <v>620</v>
      </c>
      <c r="P28" s="28" t="s">
        <v>8836</v>
      </c>
      <c r="Q28" s="224" t="s">
        <v>6610</v>
      </c>
    </row>
    <row r="29" customFormat="false" ht="29.25" hidden="false" customHeight="true" outlineLevel="0" collapsed="false">
      <c r="A29" s="226" t="s">
        <v>6672</v>
      </c>
      <c r="B29" s="226" t="s">
        <v>5943</v>
      </c>
      <c r="C29" s="235" t="s">
        <v>8844</v>
      </c>
      <c r="D29" s="226" t="s">
        <v>6673</v>
      </c>
      <c r="E29" s="236" t="s">
        <v>8831</v>
      </c>
      <c r="F29" s="236" t="s">
        <v>8832</v>
      </c>
      <c r="G29" s="226" t="s">
        <v>620</v>
      </c>
      <c r="H29" s="226" t="s">
        <v>620</v>
      </c>
      <c r="I29" s="236" t="s">
        <v>8833</v>
      </c>
      <c r="J29" s="226" t="s">
        <v>8834</v>
      </c>
      <c r="K29" s="235" t="s">
        <v>8835</v>
      </c>
      <c r="L29" s="224" t="s">
        <v>8706</v>
      </c>
      <c r="M29" s="6" t="s">
        <v>6667</v>
      </c>
      <c r="N29" s="28" t="s">
        <v>620</v>
      </c>
      <c r="O29" s="28" t="s">
        <v>620</v>
      </c>
      <c r="P29" s="28" t="s">
        <v>8836</v>
      </c>
      <c r="Q29" s="224" t="s">
        <v>6610</v>
      </c>
    </row>
    <row r="30" customFormat="false" ht="29.25" hidden="false" customHeight="true" outlineLevel="0" collapsed="false">
      <c r="A30" s="226" t="s">
        <v>8845</v>
      </c>
      <c r="B30" s="226" t="s">
        <v>5943</v>
      </c>
      <c r="C30" s="235" t="s">
        <v>8846</v>
      </c>
      <c r="D30" s="226" t="s">
        <v>6680</v>
      </c>
      <c r="E30" s="236" t="s">
        <v>8831</v>
      </c>
      <c r="F30" s="236" t="s">
        <v>8832</v>
      </c>
      <c r="G30" s="226" t="s">
        <v>620</v>
      </c>
      <c r="H30" s="226" t="s">
        <v>620</v>
      </c>
      <c r="I30" s="236" t="s">
        <v>8833</v>
      </c>
      <c r="J30" s="226" t="s">
        <v>8834</v>
      </c>
      <c r="K30" s="235" t="s">
        <v>8835</v>
      </c>
      <c r="L30" s="224" t="s">
        <v>8706</v>
      </c>
      <c r="M30" s="6" t="s">
        <v>4149</v>
      </c>
      <c r="N30" s="28" t="s">
        <v>620</v>
      </c>
      <c r="O30" s="28" t="s">
        <v>620</v>
      </c>
      <c r="P30" s="28" t="s">
        <v>8836</v>
      </c>
      <c r="Q30" s="224" t="s">
        <v>6610</v>
      </c>
    </row>
    <row r="31" customFormat="false" ht="29.25" hidden="false" customHeight="true" outlineLevel="0" collapsed="false">
      <c r="A31" s="226" t="s">
        <v>6694</v>
      </c>
      <c r="B31" s="226" t="s">
        <v>5943</v>
      </c>
      <c r="C31" s="235" t="s">
        <v>8847</v>
      </c>
      <c r="D31" s="226" t="s">
        <v>6688</v>
      </c>
      <c r="E31" s="236" t="s">
        <v>8831</v>
      </c>
      <c r="F31" s="236" t="s">
        <v>8832</v>
      </c>
      <c r="G31" s="226" t="s">
        <v>620</v>
      </c>
      <c r="H31" s="226" t="s">
        <v>620</v>
      </c>
      <c r="I31" s="236" t="s">
        <v>8833</v>
      </c>
      <c r="J31" s="226" t="s">
        <v>8834</v>
      </c>
      <c r="K31" s="235" t="s">
        <v>8835</v>
      </c>
      <c r="L31" s="224" t="s">
        <v>8706</v>
      </c>
      <c r="M31" s="6" t="s">
        <v>8848</v>
      </c>
      <c r="N31" s="28" t="s">
        <v>620</v>
      </c>
      <c r="O31" s="28" t="s">
        <v>620</v>
      </c>
      <c r="P31" s="28" t="s">
        <v>8836</v>
      </c>
      <c r="Q31" s="224" t="s">
        <v>6610</v>
      </c>
    </row>
    <row r="32" customFormat="false" ht="29.25" hidden="false" customHeight="true" outlineLevel="0" collapsed="false">
      <c r="A32" s="226" t="s">
        <v>8849</v>
      </c>
      <c r="B32" s="226" t="s">
        <v>5943</v>
      </c>
      <c r="C32" s="235" t="s">
        <v>8850</v>
      </c>
      <c r="D32" s="226" t="s">
        <v>6710</v>
      </c>
      <c r="E32" s="236" t="s">
        <v>8831</v>
      </c>
      <c r="F32" s="236" t="s">
        <v>8832</v>
      </c>
      <c r="G32" s="226" t="s">
        <v>620</v>
      </c>
      <c r="H32" s="226" t="s">
        <v>620</v>
      </c>
      <c r="I32" s="236" t="s">
        <v>8833</v>
      </c>
      <c r="J32" s="226" t="s">
        <v>8834</v>
      </c>
      <c r="K32" s="235" t="s">
        <v>8835</v>
      </c>
      <c r="L32" s="224" t="s">
        <v>8706</v>
      </c>
      <c r="M32" s="6" t="s">
        <v>4085</v>
      </c>
      <c r="N32" s="28" t="s">
        <v>620</v>
      </c>
      <c r="O32" s="28" t="s">
        <v>620</v>
      </c>
      <c r="P32" s="28" t="s">
        <v>8836</v>
      </c>
      <c r="Q32" s="224" t="s">
        <v>6610</v>
      </c>
    </row>
    <row r="33" customFormat="false" ht="29.25" hidden="false" customHeight="true" outlineLevel="0" collapsed="false">
      <c r="A33" s="226" t="s">
        <v>6727</v>
      </c>
      <c r="B33" s="226" t="s">
        <v>5943</v>
      </c>
      <c r="C33" s="235" t="s">
        <v>8851</v>
      </c>
      <c r="D33" s="226" t="s">
        <v>6720</v>
      </c>
      <c r="E33" s="236" t="s">
        <v>8831</v>
      </c>
      <c r="F33" s="236" t="s">
        <v>8832</v>
      </c>
      <c r="G33" s="226" t="s">
        <v>620</v>
      </c>
      <c r="H33" s="226" t="s">
        <v>620</v>
      </c>
      <c r="I33" s="236" t="s">
        <v>8833</v>
      </c>
      <c r="J33" s="226" t="s">
        <v>8834</v>
      </c>
      <c r="K33" s="235" t="s">
        <v>8835</v>
      </c>
      <c r="L33" s="224" t="s">
        <v>8706</v>
      </c>
      <c r="M33" s="6" t="s">
        <v>8852</v>
      </c>
      <c r="N33" s="28" t="s">
        <v>620</v>
      </c>
      <c r="O33" s="28" t="s">
        <v>620</v>
      </c>
      <c r="P33" s="28" t="s">
        <v>8836</v>
      </c>
      <c r="Q33" s="224" t="s">
        <v>6717</v>
      </c>
    </row>
    <row r="34" customFormat="false" ht="29.25" hidden="false" customHeight="true" outlineLevel="0" collapsed="false">
      <c r="A34" s="226" t="s">
        <v>6740</v>
      </c>
      <c r="B34" s="226" t="s">
        <v>5943</v>
      </c>
      <c r="C34" s="235" t="s">
        <v>8853</v>
      </c>
      <c r="D34" s="226" t="s">
        <v>6741</v>
      </c>
      <c r="E34" s="236" t="s">
        <v>8831</v>
      </c>
      <c r="F34" s="236" t="s">
        <v>8832</v>
      </c>
      <c r="G34" s="226" t="s">
        <v>620</v>
      </c>
      <c r="H34" s="226" t="s">
        <v>620</v>
      </c>
      <c r="I34" s="236" t="s">
        <v>8833</v>
      </c>
      <c r="J34" s="226" t="s">
        <v>8834</v>
      </c>
      <c r="K34" s="235" t="s">
        <v>8835</v>
      </c>
      <c r="L34" s="224" t="s">
        <v>8706</v>
      </c>
      <c r="M34" s="6" t="s">
        <v>6736</v>
      </c>
      <c r="N34" s="28" t="s">
        <v>620</v>
      </c>
      <c r="O34" s="28" t="s">
        <v>620</v>
      </c>
      <c r="P34" s="28" t="s">
        <v>8836</v>
      </c>
      <c r="Q34" s="224" t="s">
        <v>6610</v>
      </c>
    </row>
    <row r="35" customFormat="false" ht="97.5" hidden="false" customHeight="true" outlineLevel="0" collapsed="false">
      <c r="A35" s="226" t="s">
        <v>6749</v>
      </c>
      <c r="B35" s="226" t="s">
        <v>5943</v>
      </c>
      <c r="C35" s="235" t="s">
        <v>8854</v>
      </c>
      <c r="D35" s="226" t="s">
        <v>6750</v>
      </c>
      <c r="E35" s="236" t="s">
        <v>8831</v>
      </c>
      <c r="F35" s="236" t="s">
        <v>8832</v>
      </c>
      <c r="G35" s="226" t="s">
        <v>620</v>
      </c>
      <c r="H35" s="226" t="s">
        <v>620</v>
      </c>
      <c r="I35" s="236" t="s">
        <v>8833</v>
      </c>
      <c r="J35" s="226" t="s">
        <v>8834</v>
      </c>
      <c r="K35" s="235" t="s">
        <v>8835</v>
      </c>
      <c r="L35" s="224" t="s">
        <v>8706</v>
      </c>
      <c r="M35" s="6" t="s">
        <v>8855</v>
      </c>
      <c r="N35" s="28" t="s">
        <v>620</v>
      </c>
      <c r="O35" s="28" t="s">
        <v>620</v>
      </c>
      <c r="P35" s="28" t="s">
        <v>8836</v>
      </c>
      <c r="Q35" s="224" t="s">
        <v>6610</v>
      </c>
    </row>
    <row r="36" customFormat="false" ht="29.25" hidden="false" customHeight="true" outlineLevel="0" collapsed="false">
      <c r="A36" s="226" t="s">
        <v>6798</v>
      </c>
      <c r="B36" s="226" t="s">
        <v>5943</v>
      </c>
      <c r="C36" s="235" t="s">
        <v>8856</v>
      </c>
      <c r="D36" s="226" t="s">
        <v>6799</v>
      </c>
      <c r="E36" s="236" t="s">
        <v>8831</v>
      </c>
      <c r="F36" s="236" t="s">
        <v>8832</v>
      </c>
      <c r="G36" s="226" t="s">
        <v>620</v>
      </c>
      <c r="H36" s="226" t="s">
        <v>620</v>
      </c>
      <c r="I36" s="236" t="s">
        <v>8833</v>
      </c>
      <c r="J36" s="226" t="s">
        <v>8834</v>
      </c>
      <c r="K36" s="235" t="s">
        <v>8835</v>
      </c>
      <c r="L36" s="224" t="s">
        <v>8706</v>
      </c>
      <c r="M36" s="6" t="s">
        <v>8857</v>
      </c>
      <c r="N36" s="28" t="s">
        <v>620</v>
      </c>
      <c r="O36" s="28" t="s">
        <v>620</v>
      </c>
      <c r="P36" s="28" t="s">
        <v>8836</v>
      </c>
      <c r="Q36" s="224" t="s">
        <v>6717</v>
      </c>
    </row>
    <row r="37" customFormat="false" ht="29.25" hidden="false" customHeight="true" outlineLevel="0" collapsed="false">
      <c r="A37" s="226" t="s">
        <v>8858</v>
      </c>
      <c r="B37" s="226" t="s">
        <v>5943</v>
      </c>
      <c r="C37" s="235" t="s">
        <v>8859</v>
      </c>
      <c r="D37" s="226" t="s">
        <v>6818</v>
      </c>
      <c r="E37" s="236" t="s">
        <v>8831</v>
      </c>
      <c r="F37" s="236" t="s">
        <v>8832</v>
      </c>
      <c r="G37" s="226" t="s">
        <v>620</v>
      </c>
      <c r="H37" s="226" t="s">
        <v>620</v>
      </c>
      <c r="I37" s="236" t="s">
        <v>8833</v>
      </c>
      <c r="J37" s="226" t="s">
        <v>8834</v>
      </c>
      <c r="K37" s="235" t="s">
        <v>8835</v>
      </c>
      <c r="L37" s="224" t="s">
        <v>8706</v>
      </c>
      <c r="M37" s="6" t="s">
        <v>8718</v>
      </c>
      <c r="N37" s="28" t="s">
        <v>620</v>
      </c>
      <c r="O37" s="28" t="s">
        <v>620</v>
      </c>
      <c r="P37" s="28" t="s">
        <v>8860</v>
      </c>
      <c r="Q37" s="224" t="s">
        <v>6610</v>
      </c>
    </row>
    <row r="38" customFormat="false" ht="29.25" hidden="false" customHeight="true" outlineLevel="0" collapsed="false">
      <c r="A38" s="226" t="s">
        <v>8861</v>
      </c>
      <c r="B38" s="226" t="s">
        <v>5943</v>
      </c>
      <c r="C38" s="235" t="s">
        <v>8862</v>
      </c>
      <c r="D38" s="226" t="s">
        <v>6834</v>
      </c>
      <c r="E38" s="236" t="s">
        <v>8831</v>
      </c>
      <c r="F38" s="236" t="s">
        <v>8832</v>
      </c>
      <c r="G38" s="226" t="s">
        <v>620</v>
      </c>
      <c r="H38" s="226" t="s">
        <v>620</v>
      </c>
      <c r="I38" s="236" t="s">
        <v>8833</v>
      </c>
      <c r="J38" s="226" t="s">
        <v>8834</v>
      </c>
      <c r="K38" s="235" t="s">
        <v>8835</v>
      </c>
      <c r="L38" s="224" t="s">
        <v>8706</v>
      </c>
      <c r="M38" s="6" t="s">
        <v>4161</v>
      </c>
      <c r="N38" s="28" t="s">
        <v>620</v>
      </c>
      <c r="O38" s="28" t="s">
        <v>620</v>
      </c>
      <c r="P38" s="28" t="s">
        <v>8836</v>
      </c>
      <c r="Q38" s="224" t="s">
        <v>6610</v>
      </c>
    </row>
    <row r="39" customFormat="false" ht="72" hidden="false" customHeight="true" outlineLevel="0" collapsed="false">
      <c r="A39" s="226" t="s">
        <v>6841</v>
      </c>
      <c r="B39" s="226" t="s">
        <v>5943</v>
      </c>
      <c r="C39" s="235" t="s">
        <v>8863</v>
      </c>
      <c r="D39" s="226" t="s">
        <v>6842</v>
      </c>
      <c r="E39" s="236" t="s">
        <v>8831</v>
      </c>
      <c r="F39" s="236" t="s">
        <v>8832</v>
      </c>
      <c r="G39" s="226" t="s">
        <v>620</v>
      </c>
      <c r="H39" s="226" t="s">
        <v>620</v>
      </c>
      <c r="I39" s="236" t="s">
        <v>8833</v>
      </c>
      <c r="J39" s="226" t="s">
        <v>8834</v>
      </c>
      <c r="K39" s="235" t="s">
        <v>8835</v>
      </c>
      <c r="L39" s="224" t="s">
        <v>8706</v>
      </c>
      <c r="M39" s="6" t="s">
        <v>8864</v>
      </c>
      <c r="N39" s="28" t="s">
        <v>620</v>
      </c>
      <c r="O39" s="28" t="s">
        <v>620</v>
      </c>
      <c r="P39" s="28" t="s">
        <v>8836</v>
      </c>
      <c r="Q39" s="224" t="s">
        <v>6610</v>
      </c>
    </row>
    <row r="40" customFormat="false" ht="29.25" hidden="false" customHeight="true" outlineLevel="0" collapsed="false">
      <c r="A40" s="226" t="s">
        <v>6886</v>
      </c>
      <c r="B40" s="226" t="s">
        <v>5943</v>
      </c>
      <c r="C40" s="235" t="s">
        <v>8865</v>
      </c>
      <c r="D40" s="226" t="s">
        <v>6887</v>
      </c>
      <c r="E40" s="236" t="s">
        <v>8831</v>
      </c>
      <c r="F40" s="236" t="s">
        <v>8832</v>
      </c>
      <c r="G40" s="226" t="s">
        <v>620</v>
      </c>
      <c r="H40" s="226" t="s">
        <v>620</v>
      </c>
      <c r="I40" s="236" t="s">
        <v>8833</v>
      </c>
      <c r="J40" s="226" t="s">
        <v>8834</v>
      </c>
      <c r="K40" s="235" t="s">
        <v>8835</v>
      </c>
      <c r="L40" s="224" t="s">
        <v>8706</v>
      </c>
      <c r="M40" s="6" t="s">
        <v>8866</v>
      </c>
      <c r="N40" s="28" t="s">
        <v>620</v>
      </c>
      <c r="O40" s="28" t="s">
        <v>620</v>
      </c>
      <c r="P40" s="28" t="s">
        <v>8836</v>
      </c>
      <c r="Q40" s="224" t="s">
        <v>6717</v>
      </c>
    </row>
    <row r="41" customFormat="false" ht="29.25" hidden="false" customHeight="true" outlineLevel="0" collapsed="false">
      <c r="A41" s="226" t="s">
        <v>6978</v>
      </c>
      <c r="B41" s="226" t="s">
        <v>5943</v>
      </c>
      <c r="C41" s="235" t="s">
        <v>8867</v>
      </c>
      <c r="D41" s="226" t="s">
        <v>6979</v>
      </c>
      <c r="E41" s="236" t="s">
        <v>8831</v>
      </c>
      <c r="F41" s="236" t="s">
        <v>8832</v>
      </c>
      <c r="G41" s="226" t="s">
        <v>620</v>
      </c>
      <c r="H41" s="226" t="s">
        <v>620</v>
      </c>
      <c r="I41" s="236" t="s">
        <v>8833</v>
      </c>
      <c r="J41" s="226" t="s">
        <v>8834</v>
      </c>
      <c r="K41" s="235" t="s">
        <v>8835</v>
      </c>
      <c r="L41" s="224" t="s">
        <v>8706</v>
      </c>
      <c r="M41" s="6" t="s">
        <v>8868</v>
      </c>
      <c r="N41" s="28" t="s">
        <v>620</v>
      </c>
      <c r="O41" s="28" t="s">
        <v>620</v>
      </c>
      <c r="P41" s="28" t="s">
        <v>8836</v>
      </c>
      <c r="Q41" s="224" t="s">
        <v>6610</v>
      </c>
    </row>
    <row r="42" customFormat="false" ht="29.25" hidden="false" customHeight="true" outlineLevel="0" collapsed="false">
      <c r="A42" s="226" t="s">
        <v>4799</v>
      </c>
      <c r="B42" s="226" t="s">
        <v>5943</v>
      </c>
      <c r="C42" s="235" t="s">
        <v>8869</v>
      </c>
      <c r="D42" s="226" t="s">
        <v>6991</v>
      </c>
      <c r="E42" s="236" t="s">
        <v>8831</v>
      </c>
      <c r="F42" s="236" t="s">
        <v>8832</v>
      </c>
      <c r="G42" s="226" t="s">
        <v>620</v>
      </c>
      <c r="H42" s="226" t="s">
        <v>620</v>
      </c>
      <c r="I42" s="236" t="s">
        <v>8833</v>
      </c>
      <c r="J42" s="226" t="s">
        <v>8834</v>
      </c>
      <c r="K42" s="235" t="s">
        <v>8835</v>
      </c>
      <c r="L42" s="224" t="s">
        <v>8706</v>
      </c>
      <c r="M42" s="6" t="s">
        <v>8870</v>
      </c>
      <c r="N42" s="28" t="s">
        <v>620</v>
      </c>
      <c r="O42" s="28" t="s">
        <v>620</v>
      </c>
      <c r="P42" s="28" t="s">
        <v>8836</v>
      </c>
      <c r="Q42" s="224" t="s">
        <v>6717</v>
      </c>
    </row>
    <row r="43" customFormat="false" ht="29.25" hidden="false" customHeight="true" outlineLevel="0" collapsed="false">
      <c r="A43" s="226" t="s">
        <v>4811</v>
      </c>
      <c r="B43" s="226" t="s">
        <v>5943</v>
      </c>
      <c r="C43" s="235" t="s">
        <v>8871</v>
      </c>
      <c r="D43" s="226" t="s">
        <v>7004</v>
      </c>
      <c r="E43" s="236" t="s">
        <v>8831</v>
      </c>
      <c r="F43" s="236" t="s">
        <v>8832</v>
      </c>
      <c r="G43" s="226" t="s">
        <v>620</v>
      </c>
      <c r="H43" s="226" t="s">
        <v>620</v>
      </c>
      <c r="I43" s="236" t="s">
        <v>8833</v>
      </c>
      <c r="J43" s="226" t="s">
        <v>8834</v>
      </c>
      <c r="K43" s="235" t="s">
        <v>8835</v>
      </c>
      <c r="L43" s="224" t="s">
        <v>8706</v>
      </c>
      <c r="M43" s="6" t="s">
        <v>8872</v>
      </c>
      <c r="N43" s="28" t="s">
        <v>620</v>
      </c>
      <c r="O43" s="28" t="s">
        <v>620</v>
      </c>
      <c r="P43" s="28" t="s">
        <v>8860</v>
      </c>
      <c r="Q43" s="224" t="s">
        <v>6717</v>
      </c>
    </row>
    <row r="44" customFormat="false" ht="29.25" hidden="false" customHeight="true" outlineLevel="0" collapsed="false">
      <c r="A44" s="226" t="s">
        <v>4823</v>
      </c>
      <c r="B44" s="226" t="s">
        <v>5943</v>
      </c>
      <c r="C44" s="235" t="s">
        <v>8873</v>
      </c>
      <c r="D44" s="226" t="s">
        <v>7013</v>
      </c>
      <c r="E44" s="236" t="s">
        <v>8831</v>
      </c>
      <c r="F44" s="236" t="s">
        <v>8832</v>
      </c>
      <c r="G44" s="226" t="s">
        <v>620</v>
      </c>
      <c r="H44" s="226" t="s">
        <v>620</v>
      </c>
      <c r="I44" s="236" t="s">
        <v>8833</v>
      </c>
      <c r="J44" s="226" t="s">
        <v>8834</v>
      </c>
      <c r="K44" s="235" t="s">
        <v>8835</v>
      </c>
      <c r="L44" s="224" t="s">
        <v>8706</v>
      </c>
      <c r="M44" s="6" t="s">
        <v>8874</v>
      </c>
      <c r="N44" s="28" t="s">
        <v>620</v>
      </c>
      <c r="O44" s="28" t="s">
        <v>620</v>
      </c>
      <c r="P44" s="28" t="s">
        <v>8860</v>
      </c>
      <c r="Q44" s="224" t="s">
        <v>6610</v>
      </c>
    </row>
    <row r="45" customFormat="false" ht="29.25" hidden="false" customHeight="true" outlineLevel="0" collapsed="false">
      <c r="A45" s="226" t="s">
        <v>7027</v>
      </c>
      <c r="B45" s="226" t="s">
        <v>5943</v>
      </c>
      <c r="C45" s="235" t="s">
        <v>8875</v>
      </c>
      <c r="D45" s="226" t="s">
        <v>7028</v>
      </c>
      <c r="E45" s="236" t="s">
        <v>8831</v>
      </c>
      <c r="F45" s="236" t="s">
        <v>8832</v>
      </c>
      <c r="G45" s="226" t="s">
        <v>620</v>
      </c>
      <c r="H45" s="226" t="s">
        <v>620</v>
      </c>
      <c r="I45" s="236" t="s">
        <v>8833</v>
      </c>
      <c r="J45" s="226" t="s">
        <v>8834</v>
      </c>
      <c r="K45" s="235" t="s">
        <v>8835</v>
      </c>
      <c r="L45" s="224" t="s">
        <v>8706</v>
      </c>
      <c r="M45" s="6" t="s">
        <v>8876</v>
      </c>
      <c r="N45" s="28" t="s">
        <v>620</v>
      </c>
      <c r="O45" s="28" t="s">
        <v>620</v>
      </c>
      <c r="P45" s="28" t="s">
        <v>8836</v>
      </c>
      <c r="Q45" s="224" t="s">
        <v>6610</v>
      </c>
    </row>
    <row r="46" customFormat="false" ht="29.25" hidden="false" customHeight="true" outlineLevel="0" collapsed="false">
      <c r="A46" s="226" t="s">
        <v>7037</v>
      </c>
      <c r="B46" s="226" t="s">
        <v>5943</v>
      </c>
      <c r="C46" s="235" t="s">
        <v>8877</v>
      </c>
      <c r="D46" s="226" t="s">
        <v>7038</v>
      </c>
      <c r="E46" s="236" t="s">
        <v>8831</v>
      </c>
      <c r="F46" s="236" t="s">
        <v>8832</v>
      </c>
      <c r="G46" s="226" t="s">
        <v>620</v>
      </c>
      <c r="H46" s="226" t="s">
        <v>620</v>
      </c>
      <c r="I46" s="236" t="s">
        <v>8833</v>
      </c>
      <c r="J46" s="226" t="s">
        <v>8834</v>
      </c>
      <c r="K46" s="235" t="s">
        <v>8835</v>
      </c>
      <c r="L46" s="224" t="s">
        <v>8706</v>
      </c>
      <c r="M46" s="6" t="s">
        <v>8878</v>
      </c>
      <c r="N46" s="28" t="s">
        <v>620</v>
      </c>
      <c r="O46" s="28" t="s">
        <v>620</v>
      </c>
      <c r="P46" s="28" t="s">
        <v>8860</v>
      </c>
      <c r="Q46" s="224" t="s">
        <v>6610</v>
      </c>
    </row>
    <row r="47" customFormat="false" ht="54.75" hidden="false" customHeight="true" outlineLevel="0" collapsed="false">
      <c r="A47" s="226" t="s">
        <v>7084</v>
      </c>
      <c r="B47" s="226" t="s">
        <v>5943</v>
      </c>
      <c r="C47" s="235" t="s">
        <v>8879</v>
      </c>
      <c r="D47" s="226" t="s">
        <v>3608</v>
      </c>
      <c r="E47" s="236" t="s">
        <v>8831</v>
      </c>
      <c r="F47" s="236" t="s">
        <v>8832</v>
      </c>
      <c r="G47" s="226" t="s">
        <v>620</v>
      </c>
      <c r="H47" s="226" t="s">
        <v>620</v>
      </c>
      <c r="I47" s="236" t="s">
        <v>8833</v>
      </c>
      <c r="J47" s="226" t="s">
        <v>8834</v>
      </c>
      <c r="K47" s="235" t="s">
        <v>8835</v>
      </c>
      <c r="L47" s="224" t="s">
        <v>8706</v>
      </c>
      <c r="M47" s="6" t="s">
        <v>8880</v>
      </c>
      <c r="N47" s="28" t="s">
        <v>620</v>
      </c>
      <c r="O47" s="28" t="s">
        <v>620</v>
      </c>
      <c r="P47" s="28" t="s">
        <v>8836</v>
      </c>
      <c r="Q47" s="224" t="s">
        <v>6610</v>
      </c>
    </row>
    <row r="48" customFormat="false" ht="168" hidden="false" customHeight="true" outlineLevel="0" collapsed="false">
      <c r="A48" s="226" t="s">
        <v>7113</v>
      </c>
      <c r="B48" s="226" t="s">
        <v>5943</v>
      </c>
      <c r="C48" s="235" t="s">
        <v>8881</v>
      </c>
      <c r="D48" s="226" t="s">
        <v>7108</v>
      </c>
      <c r="E48" s="236" t="s">
        <v>8831</v>
      </c>
      <c r="F48" s="236" t="s">
        <v>8832</v>
      </c>
      <c r="G48" s="226" t="s">
        <v>620</v>
      </c>
      <c r="H48" s="226" t="s">
        <v>620</v>
      </c>
      <c r="I48" s="236" t="s">
        <v>8833</v>
      </c>
      <c r="J48" s="226" t="s">
        <v>8834</v>
      </c>
      <c r="K48" s="235" t="s">
        <v>8835</v>
      </c>
      <c r="L48" s="224" t="s">
        <v>8706</v>
      </c>
      <c r="M48" s="6" t="s">
        <v>8882</v>
      </c>
      <c r="N48" s="28" t="s">
        <v>620</v>
      </c>
      <c r="O48" s="28" t="s">
        <v>620</v>
      </c>
      <c r="P48" s="28" t="s">
        <v>8836</v>
      </c>
      <c r="Q48" s="224" t="s">
        <v>6610</v>
      </c>
    </row>
    <row r="49" customFormat="false" ht="40.5" hidden="false" customHeight="true" outlineLevel="0" collapsed="false">
      <c r="A49" s="226" t="s">
        <v>8883</v>
      </c>
      <c r="B49" s="226" t="s">
        <v>5943</v>
      </c>
      <c r="C49" s="235" t="s">
        <v>8884</v>
      </c>
      <c r="D49" s="226" t="s">
        <v>7189</v>
      </c>
      <c r="E49" s="236" t="s">
        <v>8831</v>
      </c>
      <c r="F49" s="236" t="s">
        <v>8832</v>
      </c>
      <c r="G49" s="226" t="s">
        <v>620</v>
      </c>
      <c r="H49" s="226" t="s">
        <v>620</v>
      </c>
      <c r="I49" s="236" t="s">
        <v>8833</v>
      </c>
      <c r="J49" s="226" t="s">
        <v>8834</v>
      </c>
      <c r="K49" s="235" t="s">
        <v>8835</v>
      </c>
      <c r="L49" s="224" t="s">
        <v>8706</v>
      </c>
      <c r="M49" s="6" t="s">
        <v>8713</v>
      </c>
      <c r="N49" s="28" t="s">
        <v>620</v>
      </c>
      <c r="O49" s="28" t="s">
        <v>620</v>
      </c>
      <c r="P49" s="28" t="s">
        <v>8885</v>
      </c>
      <c r="Q49" s="224" t="s">
        <v>6610</v>
      </c>
    </row>
    <row r="50" customFormat="false" ht="29.25" hidden="false" customHeight="true" outlineLevel="0" collapsed="false">
      <c r="A50" s="226" t="s">
        <v>8886</v>
      </c>
      <c r="B50" s="226" t="s">
        <v>5943</v>
      </c>
      <c r="C50" s="235" t="s">
        <v>8887</v>
      </c>
      <c r="D50" s="226" t="s">
        <v>7207</v>
      </c>
      <c r="E50" s="236" t="s">
        <v>8831</v>
      </c>
      <c r="F50" s="236" t="s">
        <v>8832</v>
      </c>
      <c r="G50" s="226" t="s">
        <v>620</v>
      </c>
      <c r="H50" s="226" t="s">
        <v>620</v>
      </c>
      <c r="I50" s="236" t="s">
        <v>8833</v>
      </c>
      <c r="J50" s="226" t="s">
        <v>8834</v>
      </c>
      <c r="K50" s="235" t="s">
        <v>8835</v>
      </c>
      <c r="L50" s="224" t="s">
        <v>8706</v>
      </c>
      <c r="M50" s="6" t="s">
        <v>5360</v>
      </c>
      <c r="N50" s="28" t="s">
        <v>620</v>
      </c>
      <c r="O50" s="28" t="s">
        <v>620</v>
      </c>
      <c r="P50" s="28" t="s">
        <v>8885</v>
      </c>
      <c r="Q50" s="224" t="s">
        <v>6717</v>
      </c>
    </row>
    <row r="51" customFormat="false" ht="29.25" hidden="false" customHeight="true" outlineLevel="0" collapsed="false">
      <c r="A51" s="226" t="s">
        <v>7217</v>
      </c>
      <c r="B51" s="226" t="s">
        <v>5943</v>
      </c>
      <c r="C51" s="235" t="s">
        <v>8888</v>
      </c>
      <c r="D51" s="226" t="s">
        <v>7218</v>
      </c>
      <c r="E51" s="236" t="s">
        <v>8831</v>
      </c>
      <c r="F51" s="236" t="s">
        <v>8832</v>
      </c>
      <c r="G51" s="226" t="s">
        <v>620</v>
      </c>
      <c r="H51" s="226" t="s">
        <v>620</v>
      </c>
      <c r="I51" s="236" t="s">
        <v>8833</v>
      </c>
      <c r="J51" s="226" t="s">
        <v>8834</v>
      </c>
      <c r="K51" s="235" t="s">
        <v>8835</v>
      </c>
      <c r="L51" s="224" t="s">
        <v>8706</v>
      </c>
      <c r="M51" s="6" t="s">
        <v>2905</v>
      </c>
      <c r="N51" s="28" t="s">
        <v>620</v>
      </c>
      <c r="O51" s="28" t="s">
        <v>620</v>
      </c>
      <c r="P51" s="28" t="s">
        <v>8860</v>
      </c>
      <c r="Q51" s="224" t="s">
        <v>6610</v>
      </c>
    </row>
    <row r="52" customFormat="false" ht="29.25" hidden="false" customHeight="true" outlineLevel="0" collapsed="false">
      <c r="A52" s="226" t="s">
        <v>7229</v>
      </c>
      <c r="B52" s="226" t="s">
        <v>5943</v>
      </c>
      <c r="C52" s="235" t="s">
        <v>8889</v>
      </c>
      <c r="D52" s="226" t="s">
        <v>7230</v>
      </c>
      <c r="E52" s="236" t="s">
        <v>8831</v>
      </c>
      <c r="F52" s="236" t="s">
        <v>8832</v>
      </c>
      <c r="G52" s="226" t="s">
        <v>620</v>
      </c>
      <c r="H52" s="226" t="s">
        <v>620</v>
      </c>
      <c r="I52" s="236" t="s">
        <v>8833</v>
      </c>
      <c r="J52" s="226" t="s">
        <v>8834</v>
      </c>
      <c r="K52" s="235" t="s">
        <v>8835</v>
      </c>
      <c r="L52" s="224" t="s">
        <v>8706</v>
      </c>
      <c r="M52" s="6" t="s">
        <v>7221</v>
      </c>
      <c r="N52" s="28" t="s">
        <v>620</v>
      </c>
      <c r="O52" s="28" t="s">
        <v>620</v>
      </c>
      <c r="P52" s="28" t="s">
        <v>8860</v>
      </c>
      <c r="Q52" s="224" t="s">
        <v>6610</v>
      </c>
    </row>
    <row r="53" customFormat="false" ht="29.25" hidden="false" customHeight="true" outlineLevel="0" collapsed="false">
      <c r="A53" s="226" t="s">
        <v>8890</v>
      </c>
      <c r="B53" s="226" t="s">
        <v>5943</v>
      </c>
      <c r="C53" s="235" t="s">
        <v>8891</v>
      </c>
      <c r="D53" s="226" t="s">
        <v>7238</v>
      </c>
      <c r="E53" s="236" t="s">
        <v>8831</v>
      </c>
      <c r="F53" s="236" t="s">
        <v>8832</v>
      </c>
      <c r="G53" s="226" t="s">
        <v>620</v>
      </c>
      <c r="H53" s="226" t="s">
        <v>620</v>
      </c>
      <c r="I53" s="236" t="s">
        <v>8833</v>
      </c>
      <c r="J53" s="226" t="s">
        <v>8834</v>
      </c>
      <c r="K53" s="235" t="s">
        <v>8835</v>
      </c>
      <c r="L53" s="224" t="s">
        <v>8706</v>
      </c>
      <c r="M53" s="6" t="s">
        <v>8732</v>
      </c>
      <c r="N53" s="28" t="s">
        <v>620</v>
      </c>
      <c r="O53" s="28" t="s">
        <v>620</v>
      </c>
      <c r="P53" s="28" t="s">
        <v>8885</v>
      </c>
      <c r="Q53" s="224" t="s">
        <v>6610</v>
      </c>
    </row>
    <row r="54" customFormat="false" ht="40.5" hidden="false" customHeight="true" outlineLevel="0" collapsed="false">
      <c r="A54" s="226" t="s">
        <v>7251</v>
      </c>
      <c r="B54" s="226" t="s">
        <v>5943</v>
      </c>
      <c r="C54" s="235" t="s">
        <v>8892</v>
      </c>
      <c r="D54" s="226" t="s">
        <v>985</v>
      </c>
      <c r="E54" s="236" t="s">
        <v>8831</v>
      </c>
      <c r="F54" s="236" t="s">
        <v>8832</v>
      </c>
      <c r="G54" s="226" t="s">
        <v>620</v>
      </c>
      <c r="H54" s="226" t="s">
        <v>620</v>
      </c>
      <c r="I54" s="236" t="s">
        <v>8833</v>
      </c>
      <c r="J54" s="226" t="s">
        <v>8834</v>
      </c>
      <c r="K54" s="235" t="s">
        <v>8835</v>
      </c>
      <c r="L54" s="224" t="s">
        <v>8706</v>
      </c>
      <c r="M54" s="6" t="s">
        <v>8893</v>
      </c>
      <c r="N54" s="28" t="s">
        <v>620</v>
      </c>
      <c r="O54" s="28" t="s">
        <v>620</v>
      </c>
      <c r="P54" s="28" t="s">
        <v>8836</v>
      </c>
      <c r="Q54" s="224" t="s">
        <v>6610</v>
      </c>
    </row>
    <row r="55" customFormat="false" ht="29.25" hidden="false" customHeight="true" outlineLevel="0" collapsed="false">
      <c r="A55" s="226" t="s">
        <v>8894</v>
      </c>
      <c r="B55" s="226" t="s">
        <v>5943</v>
      </c>
      <c r="C55" s="235" t="s">
        <v>8895</v>
      </c>
      <c r="D55" s="226" t="s">
        <v>7267</v>
      </c>
      <c r="E55" s="236" t="s">
        <v>8831</v>
      </c>
      <c r="F55" s="236" t="s">
        <v>8832</v>
      </c>
      <c r="G55" s="226" t="s">
        <v>620</v>
      </c>
      <c r="H55" s="226" t="s">
        <v>620</v>
      </c>
      <c r="I55" s="236" t="s">
        <v>8833</v>
      </c>
      <c r="J55" s="226" t="s">
        <v>8834</v>
      </c>
      <c r="K55" s="235" t="s">
        <v>8835</v>
      </c>
      <c r="L55" s="224" t="s">
        <v>8706</v>
      </c>
      <c r="M55" s="6" t="s">
        <v>4925</v>
      </c>
      <c r="N55" s="28" t="s">
        <v>620</v>
      </c>
      <c r="O55" s="28" t="s">
        <v>620</v>
      </c>
      <c r="P55" s="28" t="s">
        <v>8885</v>
      </c>
      <c r="Q55" s="224" t="s">
        <v>6610</v>
      </c>
    </row>
    <row r="56" customFormat="false" ht="29.25" hidden="false" customHeight="true" outlineLevel="0" collapsed="false">
      <c r="A56" s="226" t="s">
        <v>8896</v>
      </c>
      <c r="B56" s="226" t="s">
        <v>5943</v>
      </c>
      <c r="C56" s="235" t="s">
        <v>8897</v>
      </c>
      <c r="D56" s="226" t="s">
        <v>7277</v>
      </c>
      <c r="E56" s="236" t="s">
        <v>8831</v>
      </c>
      <c r="F56" s="236" t="s">
        <v>8832</v>
      </c>
      <c r="G56" s="226" t="s">
        <v>620</v>
      </c>
      <c r="H56" s="226" t="s">
        <v>620</v>
      </c>
      <c r="I56" s="236" t="s">
        <v>8833</v>
      </c>
      <c r="J56" s="226" t="s">
        <v>8834</v>
      </c>
      <c r="K56" s="235" t="s">
        <v>8835</v>
      </c>
      <c r="L56" s="224" t="s">
        <v>8706</v>
      </c>
      <c r="M56" s="6" t="s">
        <v>7270</v>
      </c>
      <c r="N56" s="28" t="s">
        <v>620</v>
      </c>
      <c r="O56" s="28" t="s">
        <v>620</v>
      </c>
      <c r="P56" s="28" t="s">
        <v>8885</v>
      </c>
      <c r="Q56" s="224" t="s">
        <v>6610</v>
      </c>
    </row>
    <row r="57" customFormat="false" ht="29.25" hidden="false" customHeight="true" outlineLevel="0" collapsed="false">
      <c r="A57" s="226" t="s">
        <v>8898</v>
      </c>
      <c r="B57" s="226" t="s">
        <v>5943</v>
      </c>
      <c r="C57" s="235" t="s">
        <v>8899</v>
      </c>
      <c r="D57" s="226" t="s">
        <v>7282</v>
      </c>
      <c r="E57" s="236" t="s">
        <v>8831</v>
      </c>
      <c r="F57" s="236" t="s">
        <v>8832</v>
      </c>
      <c r="G57" s="226" t="s">
        <v>620</v>
      </c>
      <c r="H57" s="226" t="s">
        <v>620</v>
      </c>
      <c r="I57" s="236" t="s">
        <v>8833</v>
      </c>
      <c r="J57" s="226" t="s">
        <v>8834</v>
      </c>
      <c r="K57" s="235" t="s">
        <v>8835</v>
      </c>
      <c r="L57" s="224" t="s">
        <v>8706</v>
      </c>
      <c r="M57" s="6" t="s">
        <v>8900</v>
      </c>
      <c r="N57" s="28" t="s">
        <v>620</v>
      </c>
      <c r="O57" s="28" t="s">
        <v>620</v>
      </c>
      <c r="P57" s="28" t="s">
        <v>8860</v>
      </c>
      <c r="Q57" s="224" t="s">
        <v>6610</v>
      </c>
    </row>
    <row r="58" customFormat="false" ht="29.25" hidden="false" customHeight="true" outlineLevel="0" collapsed="false">
      <c r="A58" s="226" t="s">
        <v>8901</v>
      </c>
      <c r="B58" s="226" t="s">
        <v>5943</v>
      </c>
      <c r="C58" s="235" t="s">
        <v>8902</v>
      </c>
      <c r="D58" s="226" t="s">
        <v>7291</v>
      </c>
      <c r="E58" s="236" t="s">
        <v>8831</v>
      </c>
      <c r="F58" s="236" t="s">
        <v>8832</v>
      </c>
      <c r="G58" s="226" t="s">
        <v>620</v>
      </c>
      <c r="H58" s="226" t="s">
        <v>620</v>
      </c>
      <c r="I58" s="236" t="s">
        <v>8833</v>
      </c>
      <c r="J58" s="226" t="s">
        <v>8834</v>
      </c>
      <c r="K58" s="235" t="s">
        <v>8835</v>
      </c>
      <c r="L58" s="224" t="s">
        <v>8706</v>
      </c>
      <c r="M58" s="6" t="s">
        <v>8903</v>
      </c>
      <c r="N58" s="28" t="s">
        <v>620</v>
      </c>
      <c r="O58" s="28" t="s">
        <v>620</v>
      </c>
      <c r="P58" s="28" t="s">
        <v>8885</v>
      </c>
      <c r="Q58" s="224" t="s">
        <v>6610</v>
      </c>
    </row>
    <row r="59" customFormat="false" ht="29.25" hidden="false" customHeight="true" outlineLevel="0" collapsed="false">
      <c r="A59" s="226" t="s">
        <v>7370</v>
      </c>
      <c r="B59" s="226" t="s">
        <v>5943</v>
      </c>
      <c r="C59" s="235" t="s">
        <v>8904</v>
      </c>
      <c r="D59" s="226" t="s">
        <v>466</v>
      </c>
      <c r="E59" s="236" t="s">
        <v>8831</v>
      </c>
      <c r="F59" s="236" t="s">
        <v>8832</v>
      </c>
      <c r="G59" s="226" t="s">
        <v>620</v>
      </c>
      <c r="H59" s="226" t="s">
        <v>620</v>
      </c>
      <c r="I59" s="236" t="s">
        <v>8833</v>
      </c>
      <c r="J59" s="226" t="s">
        <v>8834</v>
      </c>
      <c r="K59" s="235" t="s">
        <v>8835</v>
      </c>
      <c r="L59" s="224" t="s">
        <v>8706</v>
      </c>
      <c r="M59" s="6" t="s">
        <v>8905</v>
      </c>
      <c r="N59" s="28" t="s">
        <v>620</v>
      </c>
      <c r="O59" s="28" t="s">
        <v>620</v>
      </c>
      <c r="P59" s="28" t="s">
        <v>8885</v>
      </c>
      <c r="Q59" s="224" t="s">
        <v>6610</v>
      </c>
    </row>
    <row r="60" customFormat="false" ht="43.5" hidden="false" customHeight="true" outlineLevel="0" collapsed="false">
      <c r="A60" s="226" t="s">
        <v>7385</v>
      </c>
      <c r="B60" s="226" t="s">
        <v>5943</v>
      </c>
      <c r="C60" s="235" t="s">
        <v>8906</v>
      </c>
      <c r="D60" s="226" t="s">
        <v>465</v>
      </c>
      <c r="E60" s="236" t="s">
        <v>8831</v>
      </c>
      <c r="F60" s="236" t="s">
        <v>8832</v>
      </c>
      <c r="G60" s="226" t="s">
        <v>620</v>
      </c>
      <c r="H60" s="226" t="s">
        <v>620</v>
      </c>
      <c r="I60" s="236" t="s">
        <v>8833</v>
      </c>
      <c r="J60" s="226" t="s">
        <v>8834</v>
      </c>
      <c r="K60" s="235" t="s">
        <v>8835</v>
      </c>
      <c r="L60" s="224" t="s">
        <v>8706</v>
      </c>
      <c r="M60" s="6" t="s">
        <v>8907</v>
      </c>
      <c r="N60" s="28" t="s">
        <v>620</v>
      </c>
      <c r="O60" s="28" t="s">
        <v>620</v>
      </c>
      <c r="P60" s="28" t="s">
        <v>8885</v>
      </c>
      <c r="Q60" s="224" t="s">
        <v>6610</v>
      </c>
    </row>
    <row r="61" customFormat="false" ht="43.5" hidden="false" customHeight="true" outlineLevel="0" collapsed="false">
      <c r="A61" s="226" t="s">
        <v>7420</v>
      </c>
      <c r="B61" s="226" t="s">
        <v>5943</v>
      </c>
      <c r="C61" s="235" t="s">
        <v>8908</v>
      </c>
      <c r="D61" s="226" t="s">
        <v>464</v>
      </c>
      <c r="E61" s="236" t="s">
        <v>8831</v>
      </c>
      <c r="F61" s="236" t="s">
        <v>8832</v>
      </c>
      <c r="G61" s="226" t="s">
        <v>620</v>
      </c>
      <c r="H61" s="226" t="s">
        <v>620</v>
      </c>
      <c r="I61" s="236" t="s">
        <v>8833</v>
      </c>
      <c r="J61" s="226" t="s">
        <v>8834</v>
      </c>
      <c r="K61" s="235" t="s">
        <v>8835</v>
      </c>
      <c r="L61" s="224" t="s">
        <v>8706</v>
      </c>
      <c r="M61" s="6" t="s">
        <v>8909</v>
      </c>
      <c r="N61" s="28" t="s">
        <v>620</v>
      </c>
      <c r="O61" s="28" t="s">
        <v>620</v>
      </c>
      <c r="P61" s="28" t="s">
        <v>8836</v>
      </c>
      <c r="Q61" s="224" t="s">
        <v>6610</v>
      </c>
    </row>
    <row r="62" customFormat="false" ht="29.25" hidden="false" customHeight="true" outlineLevel="0" collapsed="false">
      <c r="A62" s="226" t="s">
        <v>7431</v>
      </c>
      <c r="B62" s="226" t="s">
        <v>5943</v>
      </c>
      <c r="C62" s="235" t="s">
        <v>8910</v>
      </c>
      <c r="D62" s="226" t="s">
        <v>467</v>
      </c>
      <c r="E62" s="236" t="s">
        <v>8831</v>
      </c>
      <c r="F62" s="236" t="s">
        <v>8832</v>
      </c>
      <c r="G62" s="226" t="s">
        <v>620</v>
      </c>
      <c r="H62" s="226" t="s">
        <v>620</v>
      </c>
      <c r="I62" s="236" t="s">
        <v>8833</v>
      </c>
      <c r="J62" s="226" t="s">
        <v>8834</v>
      </c>
      <c r="K62" s="235" t="s">
        <v>8835</v>
      </c>
      <c r="L62" s="224" t="s">
        <v>8706</v>
      </c>
      <c r="M62" s="6" t="s">
        <v>8911</v>
      </c>
      <c r="N62" s="28" t="s">
        <v>620</v>
      </c>
      <c r="O62" s="28" t="s">
        <v>620</v>
      </c>
      <c r="P62" s="28" t="s">
        <v>8885</v>
      </c>
      <c r="Q62" s="224" t="s">
        <v>6610</v>
      </c>
    </row>
    <row r="63" customFormat="false" ht="29.25" hidden="false" customHeight="true" outlineLevel="0" collapsed="false">
      <c r="A63" s="226" t="s">
        <v>7441</v>
      </c>
      <c r="B63" s="226" t="s">
        <v>5943</v>
      </c>
      <c r="C63" s="235" t="s">
        <v>8912</v>
      </c>
      <c r="D63" s="226" t="s">
        <v>7442</v>
      </c>
      <c r="E63" s="236" t="s">
        <v>8831</v>
      </c>
      <c r="F63" s="236" t="s">
        <v>8832</v>
      </c>
      <c r="G63" s="226" t="s">
        <v>620</v>
      </c>
      <c r="H63" s="226" t="s">
        <v>620</v>
      </c>
      <c r="I63" s="236" t="s">
        <v>8833</v>
      </c>
      <c r="J63" s="226" t="s">
        <v>8834</v>
      </c>
      <c r="K63" s="235" t="s">
        <v>8835</v>
      </c>
      <c r="L63" s="224" t="s">
        <v>8706</v>
      </c>
      <c r="M63" s="6" t="s">
        <v>8913</v>
      </c>
      <c r="N63" s="28" t="s">
        <v>620</v>
      </c>
      <c r="O63" s="28" t="s">
        <v>620</v>
      </c>
      <c r="P63" s="28" t="s">
        <v>8885</v>
      </c>
      <c r="Q63" s="224" t="s">
        <v>6610</v>
      </c>
    </row>
    <row r="64" customFormat="false" ht="43.5" hidden="false" customHeight="true" outlineLevel="0" collapsed="false">
      <c r="A64" s="226" t="s">
        <v>7452</v>
      </c>
      <c r="B64" s="226" t="s">
        <v>5943</v>
      </c>
      <c r="C64" s="235" t="s">
        <v>8914</v>
      </c>
      <c r="D64" s="226" t="s">
        <v>7453</v>
      </c>
      <c r="E64" s="236" t="s">
        <v>8831</v>
      </c>
      <c r="F64" s="236" t="s">
        <v>8832</v>
      </c>
      <c r="G64" s="226" t="s">
        <v>620</v>
      </c>
      <c r="H64" s="226" t="s">
        <v>620</v>
      </c>
      <c r="I64" s="236" t="s">
        <v>8833</v>
      </c>
      <c r="J64" s="226" t="s">
        <v>8834</v>
      </c>
      <c r="K64" s="235" t="s">
        <v>8835</v>
      </c>
      <c r="L64" s="224" t="s">
        <v>8706</v>
      </c>
      <c r="M64" s="6" t="s">
        <v>8915</v>
      </c>
      <c r="N64" s="28" t="s">
        <v>620</v>
      </c>
      <c r="O64" s="28" t="s">
        <v>620</v>
      </c>
      <c r="P64" s="28" t="s">
        <v>8885</v>
      </c>
      <c r="Q64" s="224" t="s">
        <v>6717</v>
      </c>
    </row>
    <row r="65" customFormat="false" ht="29.25" hidden="false" customHeight="true" outlineLevel="0" collapsed="false">
      <c r="A65" s="226" t="s">
        <v>7474</v>
      </c>
      <c r="B65" s="226" t="s">
        <v>5943</v>
      </c>
      <c r="C65" s="235" t="s">
        <v>8916</v>
      </c>
      <c r="D65" s="226" t="s">
        <v>7475</v>
      </c>
      <c r="E65" s="236" t="s">
        <v>8831</v>
      </c>
      <c r="F65" s="236" t="s">
        <v>8832</v>
      </c>
      <c r="G65" s="226" t="s">
        <v>620</v>
      </c>
      <c r="H65" s="226" t="s">
        <v>620</v>
      </c>
      <c r="I65" s="236" t="s">
        <v>8833</v>
      </c>
      <c r="J65" s="226" t="s">
        <v>8834</v>
      </c>
      <c r="K65" s="235" t="s">
        <v>8835</v>
      </c>
      <c r="L65" s="224" t="s">
        <v>8706</v>
      </c>
      <c r="M65" s="6" t="s">
        <v>7467</v>
      </c>
      <c r="N65" s="28" t="s">
        <v>620</v>
      </c>
      <c r="O65" s="28" t="s">
        <v>620</v>
      </c>
      <c r="P65" s="28" t="s">
        <v>8836</v>
      </c>
      <c r="Q65" s="224" t="s">
        <v>6610</v>
      </c>
    </row>
    <row r="66" customFormat="false" ht="29.25" hidden="false" customHeight="true" outlineLevel="0" collapsed="false">
      <c r="A66" s="226" t="s">
        <v>7485</v>
      </c>
      <c r="B66" s="226" t="s">
        <v>5943</v>
      </c>
      <c r="C66" s="235" t="s">
        <v>8917</v>
      </c>
      <c r="D66" s="226" t="s">
        <v>7486</v>
      </c>
      <c r="E66" s="236" t="s">
        <v>8831</v>
      </c>
      <c r="F66" s="236" t="s">
        <v>8832</v>
      </c>
      <c r="G66" s="226" t="s">
        <v>620</v>
      </c>
      <c r="H66" s="226" t="s">
        <v>620</v>
      </c>
      <c r="I66" s="236" t="s">
        <v>8833</v>
      </c>
      <c r="J66" s="226" t="s">
        <v>8834</v>
      </c>
      <c r="K66" s="235" t="s">
        <v>8835</v>
      </c>
      <c r="L66" s="224" t="s">
        <v>8706</v>
      </c>
      <c r="M66" s="6" t="s">
        <v>8918</v>
      </c>
      <c r="N66" s="28" t="s">
        <v>620</v>
      </c>
      <c r="O66" s="28" t="s">
        <v>620</v>
      </c>
      <c r="P66" s="28" t="s">
        <v>8860</v>
      </c>
      <c r="Q66" s="224" t="s">
        <v>6610</v>
      </c>
    </row>
    <row r="67" customFormat="false" ht="29.25" hidden="false" customHeight="true" outlineLevel="0" collapsed="false">
      <c r="A67" s="226" t="s">
        <v>8919</v>
      </c>
      <c r="B67" s="226" t="s">
        <v>5943</v>
      </c>
      <c r="C67" s="235" t="s">
        <v>8920</v>
      </c>
      <c r="D67" s="226" t="s">
        <v>3594</v>
      </c>
      <c r="E67" s="236" t="s">
        <v>8831</v>
      </c>
      <c r="F67" s="236" t="s">
        <v>8832</v>
      </c>
      <c r="G67" s="226" t="s">
        <v>620</v>
      </c>
      <c r="H67" s="226" t="s">
        <v>620</v>
      </c>
      <c r="I67" s="236" t="s">
        <v>8833</v>
      </c>
      <c r="J67" s="226" t="s">
        <v>8834</v>
      </c>
      <c r="K67" s="235" t="s">
        <v>8835</v>
      </c>
      <c r="L67" s="224" t="s">
        <v>8706</v>
      </c>
      <c r="M67" s="6" t="s">
        <v>8921</v>
      </c>
      <c r="N67" s="28" t="s">
        <v>620</v>
      </c>
      <c r="O67" s="28" t="s">
        <v>620</v>
      </c>
      <c r="P67" s="28" t="s">
        <v>8860</v>
      </c>
      <c r="Q67" s="224" t="s">
        <v>6610</v>
      </c>
    </row>
    <row r="68" customFormat="false" ht="57.75" hidden="false" customHeight="true" outlineLevel="0" collapsed="false">
      <c r="A68" s="226" t="s">
        <v>7512</v>
      </c>
      <c r="B68" s="226" t="s">
        <v>5943</v>
      </c>
      <c r="C68" s="235" t="s">
        <v>8922</v>
      </c>
      <c r="D68" s="226" t="s">
        <v>7513</v>
      </c>
      <c r="E68" s="236" t="s">
        <v>8831</v>
      </c>
      <c r="F68" s="236" t="s">
        <v>8832</v>
      </c>
      <c r="G68" s="226" t="s">
        <v>620</v>
      </c>
      <c r="H68" s="226" t="s">
        <v>620</v>
      </c>
      <c r="I68" s="236" t="s">
        <v>8833</v>
      </c>
      <c r="J68" s="226" t="s">
        <v>8834</v>
      </c>
      <c r="K68" s="235" t="s">
        <v>8835</v>
      </c>
      <c r="L68" s="224" t="s">
        <v>8706</v>
      </c>
      <c r="M68" s="6" t="s">
        <v>8923</v>
      </c>
      <c r="N68" s="28" t="s">
        <v>620</v>
      </c>
      <c r="O68" s="28" t="s">
        <v>620</v>
      </c>
      <c r="P68" s="28" t="s">
        <v>8885</v>
      </c>
      <c r="Q68" s="224" t="s">
        <v>6717</v>
      </c>
    </row>
    <row r="69" customFormat="false" ht="29.25" hidden="false" customHeight="true" outlineLevel="0" collapsed="false">
      <c r="A69" s="226" t="s">
        <v>8924</v>
      </c>
      <c r="B69" s="226" t="s">
        <v>5943</v>
      </c>
      <c r="C69" s="235" t="s">
        <v>8925</v>
      </c>
      <c r="D69" s="226" t="s">
        <v>7539</v>
      </c>
      <c r="E69" s="236" t="s">
        <v>8831</v>
      </c>
      <c r="F69" s="236" t="s">
        <v>8832</v>
      </c>
      <c r="G69" s="226" t="s">
        <v>620</v>
      </c>
      <c r="H69" s="226" t="s">
        <v>620</v>
      </c>
      <c r="I69" s="236" t="s">
        <v>8833</v>
      </c>
      <c r="J69" s="226" t="s">
        <v>8834</v>
      </c>
      <c r="K69" s="235" t="s">
        <v>8835</v>
      </c>
      <c r="L69" s="224" t="s">
        <v>8706</v>
      </c>
      <c r="M69" s="6" t="s">
        <v>8926</v>
      </c>
      <c r="N69" s="28" t="s">
        <v>620</v>
      </c>
      <c r="O69" s="28" t="s">
        <v>620</v>
      </c>
      <c r="P69" s="28" t="s">
        <v>8836</v>
      </c>
      <c r="Q69" s="224" t="s">
        <v>6610</v>
      </c>
    </row>
    <row r="70" customFormat="false" ht="29.25" hidden="false" customHeight="true" outlineLevel="0" collapsed="false">
      <c r="A70" s="226" t="s">
        <v>8927</v>
      </c>
      <c r="B70" s="226" t="s">
        <v>5943</v>
      </c>
      <c r="C70" s="235" t="s">
        <v>8928</v>
      </c>
      <c r="D70" s="226" t="s">
        <v>7553</v>
      </c>
      <c r="E70" s="236" t="s">
        <v>8831</v>
      </c>
      <c r="F70" s="236" t="s">
        <v>8832</v>
      </c>
      <c r="G70" s="226" t="s">
        <v>620</v>
      </c>
      <c r="H70" s="226" t="s">
        <v>620</v>
      </c>
      <c r="I70" s="236" t="s">
        <v>8833</v>
      </c>
      <c r="J70" s="226" t="s">
        <v>8834</v>
      </c>
      <c r="K70" s="235" t="s">
        <v>8835</v>
      </c>
      <c r="L70" s="224" t="s">
        <v>8706</v>
      </c>
      <c r="M70" s="6" t="s">
        <v>8761</v>
      </c>
      <c r="N70" s="28" t="s">
        <v>620</v>
      </c>
      <c r="O70" s="28" t="s">
        <v>620</v>
      </c>
      <c r="P70" s="28" t="s">
        <v>8885</v>
      </c>
      <c r="Q70" s="224" t="s">
        <v>6610</v>
      </c>
    </row>
    <row r="71" customFormat="false" ht="83.25" hidden="false" customHeight="true" outlineLevel="0" collapsed="false">
      <c r="A71" s="226" t="s">
        <v>6908</v>
      </c>
      <c r="B71" s="226" t="s">
        <v>5943</v>
      </c>
      <c r="C71" s="235" t="s">
        <v>8929</v>
      </c>
      <c r="D71" s="226" t="s">
        <v>6901</v>
      </c>
      <c r="E71" s="236" t="s">
        <v>8930</v>
      </c>
      <c r="F71" s="236" t="s">
        <v>8832</v>
      </c>
      <c r="G71" s="226" t="s">
        <v>620</v>
      </c>
      <c r="H71" s="226" t="s">
        <v>620</v>
      </c>
      <c r="I71" s="236" t="s">
        <v>8931</v>
      </c>
      <c r="J71" s="226" t="s">
        <v>8834</v>
      </c>
      <c r="K71" s="235" t="s">
        <v>8932</v>
      </c>
      <c r="L71" s="224" t="s">
        <v>8706</v>
      </c>
      <c r="M71" s="6" t="s">
        <v>8933</v>
      </c>
      <c r="N71" s="28" t="s">
        <v>620</v>
      </c>
      <c r="O71" s="28" t="s">
        <v>620</v>
      </c>
      <c r="P71" s="28" t="s">
        <v>8836</v>
      </c>
      <c r="Q71" s="224" t="s">
        <v>8934</v>
      </c>
    </row>
    <row r="72" customFormat="false" ht="29.25" hidden="false" customHeight="true" outlineLevel="0" collapsed="false">
      <c r="A72" s="226" t="s">
        <v>7657</v>
      </c>
      <c r="B72" s="226" t="s">
        <v>8935</v>
      </c>
      <c r="C72" s="235" t="s">
        <v>8936</v>
      </c>
      <c r="D72" s="226" t="s">
        <v>7658</v>
      </c>
      <c r="E72" s="236" t="s">
        <v>8831</v>
      </c>
      <c r="F72" s="236" t="s">
        <v>8832</v>
      </c>
      <c r="G72" s="226" t="s">
        <v>620</v>
      </c>
      <c r="H72" s="226" t="s">
        <v>620</v>
      </c>
      <c r="I72" s="236" t="s">
        <v>8833</v>
      </c>
      <c r="J72" s="226" t="s">
        <v>8937</v>
      </c>
      <c r="K72" s="235" t="s">
        <v>8835</v>
      </c>
      <c r="L72" s="224" t="s">
        <v>8706</v>
      </c>
      <c r="M72" s="6" t="s">
        <v>2888</v>
      </c>
      <c r="N72" s="28" t="s">
        <v>620</v>
      </c>
      <c r="O72" s="28" t="s">
        <v>620</v>
      </c>
      <c r="P72" s="28" t="s">
        <v>8836</v>
      </c>
      <c r="Q72" s="224" t="s">
        <v>6610</v>
      </c>
    </row>
    <row r="73" customFormat="false" ht="29.25" hidden="false" customHeight="true" outlineLevel="0" collapsed="false">
      <c r="A73" s="226" t="s">
        <v>7667</v>
      </c>
      <c r="B73" s="226" t="s">
        <v>8935</v>
      </c>
      <c r="C73" s="235" t="s">
        <v>8938</v>
      </c>
      <c r="D73" s="226" t="s">
        <v>7668</v>
      </c>
      <c r="E73" s="236" t="s">
        <v>8831</v>
      </c>
      <c r="F73" s="236" t="s">
        <v>8832</v>
      </c>
      <c r="G73" s="226" t="s">
        <v>620</v>
      </c>
      <c r="H73" s="226" t="s">
        <v>620</v>
      </c>
      <c r="I73" s="236" t="s">
        <v>8833</v>
      </c>
      <c r="J73" s="226" t="s">
        <v>8937</v>
      </c>
      <c r="K73" s="235" t="s">
        <v>8835</v>
      </c>
      <c r="L73" s="224" t="s">
        <v>8706</v>
      </c>
      <c r="M73" s="6" t="s">
        <v>2895</v>
      </c>
      <c r="N73" s="28" t="s">
        <v>620</v>
      </c>
      <c r="O73" s="28" t="s">
        <v>620</v>
      </c>
      <c r="P73" s="28" t="s">
        <v>8860</v>
      </c>
      <c r="Q73" s="224" t="s">
        <v>6717</v>
      </c>
    </row>
    <row r="74" customFormat="false" ht="29.25" hidden="false" customHeight="true" outlineLevel="0" collapsed="false">
      <c r="A74" s="226" t="s">
        <v>7918</v>
      </c>
      <c r="B74" s="226" t="s">
        <v>8935</v>
      </c>
      <c r="C74" s="235" t="s">
        <v>8939</v>
      </c>
      <c r="D74" s="226" t="s">
        <v>7919</v>
      </c>
      <c r="E74" s="236" t="s">
        <v>8831</v>
      </c>
      <c r="F74" s="236" t="s">
        <v>8832</v>
      </c>
      <c r="G74" s="226" t="s">
        <v>620</v>
      </c>
      <c r="H74" s="226" t="s">
        <v>620</v>
      </c>
      <c r="I74" s="236" t="s">
        <v>8833</v>
      </c>
      <c r="J74" s="226" t="s">
        <v>8937</v>
      </c>
      <c r="K74" s="235" t="s">
        <v>8835</v>
      </c>
      <c r="L74" s="224" t="s">
        <v>8706</v>
      </c>
      <c r="M74" s="6" t="s">
        <v>8812</v>
      </c>
      <c r="N74" s="28" t="s">
        <v>620</v>
      </c>
      <c r="O74" s="28" t="s">
        <v>620</v>
      </c>
      <c r="P74" s="28" t="s">
        <v>8860</v>
      </c>
      <c r="Q74" s="224" t="s">
        <v>6610</v>
      </c>
    </row>
    <row r="75" customFormat="false" ht="29.25" hidden="false" customHeight="true" outlineLevel="0" collapsed="false">
      <c r="A75" s="226" t="s">
        <v>7985</v>
      </c>
      <c r="B75" s="226" t="s">
        <v>8935</v>
      </c>
      <c r="C75" s="235" t="s">
        <v>8940</v>
      </c>
      <c r="D75" s="226" t="s">
        <v>7986</v>
      </c>
      <c r="E75" s="236" t="s">
        <v>8831</v>
      </c>
      <c r="F75" s="236" t="s">
        <v>8832</v>
      </c>
      <c r="G75" s="226" t="s">
        <v>620</v>
      </c>
      <c r="H75" s="226" t="s">
        <v>620</v>
      </c>
      <c r="I75" s="236" t="s">
        <v>8833</v>
      </c>
      <c r="J75" s="226" t="s">
        <v>8937</v>
      </c>
      <c r="K75" s="235" t="s">
        <v>8835</v>
      </c>
      <c r="L75" s="224" t="s">
        <v>8706</v>
      </c>
      <c r="M75" s="6" t="s">
        <v>8725</v>
      </c>
      <c r="N75" s="28" t="s">
        <v>620</v>
      </c>
      <c r="O75" s="28" t="s">
        <v>620</v>
      </c>
      <c r="P75" s="28" t="s">
        <v>8885</v>
      </c>
      <c r="Q75" s="224" t="s">
        <v>6717</v>
      </c>
    </row>
    <row r="76" customFormat="false" ht="69" hidden="false" customHeight="true" outlineLevel="0" collapsed="false">
      <c r="A76" s="226" t="s">
        <v>7676</v>
      </c>
      <c r="B76" s="226" t="s">
        <v>8935</v>
      </c>
      <c r="C76" s="235" t="s">
        <v>8941</v>
      </c>
      <c r="D76" s="226" t="s">
        <v>7677</v>
      </c>
      <c r="E76" s="236" t="s">
        <v>8831</v>
      </c>
      <c r="F76" s="236" t="s">
        <v>8832</v>
      </c>
      <c r="G76" s="226" t="s">
        <v>620</v>
      </c>
      <c r="H76" s="226" t="s">
        <v>620</v>
      </c>
      <c r="I76" s="236" t="s">
        <v>8833</v>
      </c>
      <c r="J76" s="226" t="s">
        <v>8937</v>
      </c>
      <c r="K76" s="235" t="s">
        <v>8835</v>
      </c>
      <c r="L76" s="224" t="s">
        <v>8706</v>
      </c>
      <c r="M76" s="6" t="s">
        <v>8942</v>
      </c>
      <c r="N76" s="28" t="s">
        <v>620</v>
      </c>
      <c r="O76" s="28" t="s">
        <v>620</v>
      </c>
      <c r="P76" s="28" t="s">
        <v>8885</v>
      </c>
      <c r="Q76" s="224" t="s">
        <v>6610</v>
      </c>
    </row>
    <row r="77" customFormat="false" ht="69" hidden="false" customHeight="true" outlineLevel="0" collapsed="false">
      <c r="A77" s="226" t="s">
        <v>7707</v>
      </c>
      <c r="B77" s="226" t="s">
        <v>8935</v>
      </c>
      <c r="C77" s="235" t="s">
        <v>8943</v>
      </c>
      <c r="D77" s="226" t="s">
        <v>7708</v>
      </c>
      <c r="E77" s="236" t="s">
        <v>8831</v>
      </c>
      <c r="F77" s="236" t="s">
        <v>8832</v>
      </c>
      <c r="G77" s="226" t="s">
        <v>620</v>
      </c>
      <c r="H77" s="226" t="s">
        <v>620</v>
      </c>
      <c r="I77" s="236" t="s">
        <v>8833</v>
      </c>
      <c r="J77" s="226" t="s">
        <v>8937</v>
      </c>
      <c r="K77" s="235" t="s">
        <v>8835</v>
      </c>
      <c r="L77" s="224" t="s">
        <v>8706</v>
      </c>
      <c r="M77" s="6" t="s">
        <v>8794</v>
      </c>
      <c r="N77" s="28" t="s">
        <v>620</v>
      </c>
      <c r="O77" s="28" t="s">
        <v>620</v>
      </c>
      <c r="P77" s="28" t="s">
        <v>8860</v>
      </c>
      <c r="Q77" s="224" t="s">
        <v>6610</v>
      </c>
    </row>
    <row r="78" customFormat="false" ht="57.75" hidden="false" customHeight="true" outlineLevel="0" collapsed="false">
      <c r="A78" s="226" t="s">
        <v>7742</v>
      </c>
      <c r="B78" s="226" t="s">
        <v>8935</v>
      </c>
      <c r="C78" s="235" t="s">
        <v>8944</v>
      </c>
      <c r="D78" s="226" t="s">
        <v>3648</v>
      </c>
      <c r="E78" s="236" t="s">
        <v>8831</v>
      </c>
      <c r="F78" s="236" t="s">
        <v>8832</v>
      </c>
      <c r="G78" s="226" t="s">
        <v>620</v>
      </c>
      <c r="H78" s="226" t="s">
        <v>620</v>
      </c>
      <c r="I78" s="236" t="s">
        <v>8833</v>
      </c>
      <c r="J78" s="226" t="s">
        <v>8937</v>
      </c>
      <c r="K78" s="235" t="s">
        <v>8835</v>
      </c>
      <c r="L78" s="224" t="s">
        <v>8706</v>
      </c>
      <c r="M78" s="6" t="s">
        <v>8775</v>
      </c>
      <c r="N78" s="28" t="s">
        <v>620</v>
      </c>
      <c r="O78" s="28" t="s">
        <v>620</v>
      </c>
      <c r="P78" s="28" t="s">
        <v>8885</v>
      </c>
      <c r="Q78" s="224" t="s">
        <v>6610</v>
      </c>
    </row>
    <row r="79" customFormat="false" ht="43.5" hidden="false" customHeight="true" outlineLevel="0" collapsed="false">
      <c r="A79" s="226" t="s">
        <v>7772</v>
      </c>
      <c r="B79" s="226" t="s">
        <v>8935</v>
      </c>
      <c r="C79" s="235" t="s">
        <v>8945</v>
      </c>
      <c r="D79" s="226" t="s">
        <v>7773</v>
      </c>
      <c r="E79" s="236" t="s">
        <v>8831</v>
      </c>
      <c r="F79" s="236" t="s">
        <v>8832</v>
      </c>
      <c r="G79" s="226" t="s">
        <v>620</v>
      </c>
      <c r="H79" s="226" t="s">
        <v>620</v>
      </c>
      <c r="I79" s="236" t="s">
        <v>8833</v>
      </c>
      <c r="J79" s="226" t="s">
        <v>8937</v>
      </c>
      <c r="K79" s="235" t="s">
        <v>8835</v>
      </c>
      <c r="L79" s="224" t="s">
        <v>8706</v>
      </c>
      <c r="M79" s="6" t="s">
        <v>8946</v>
      </c>
      <c r="N79" s="28" t="s">
        <v>620</v>
      </c>
      <c r="O79" s="28" t="s">
        <v>620</v>
      </c>
      <c r="P79" s="28" t="s">
        <v>8885</v>
      </c>
      <c r="Q79" s="224" t="s">
        <v>6610</v>
      </c>
    </row>
    <row r="80" customFormat="false" ht="72" hidden="false" customHeight="true" outlineLevel="0" collapsed="false">
      <c r="A80" s="226" t="s">
        <v>7794</v>
      </c>
      <c r="B80" s="226" t="s">
        <v>8935</v>
      </c>
      <c r="C80" s="235" t="s">
        <v>8947</v>
      </c>
      <c r="D80" s="226" t="s">
        <v>7795</v>
      </c>
      <c r="E80" s="236" t="s">
        <v>8831</v>
      </c>
      <c r="F80" s="236" t="s">
        <v>8832</v>
      </c>
      <c r="G80" s="226" t="s">
        <v>620</v>
      </c>
      <c r="H80" s="226" t="s">
        <v>620</v>
      </c>
      <c r="I80" s="236" t="s">
        <v>8833</v>
      </c>
      <c r="J80" s="226" t="s">
        <v>8937</v>
      </c>
      <c r="K80" s="235" t="s">
        <v>8835</v>
      </c>
      <c r="L80" s="224" t="s">
        <v>8706</v>
      </c>
      <c r="M80" s="6" t="s">
        <v>8798</v>
      </c>
      <c r="N80" s="28" t="s">
        <v>620</v>
      </c>
      <c r="O80" s="28" t="s">
        <v>620</v>
      </c>
      <c r="P80" s="28" t="s">
        <v>8860</v>
      </c>
      <c r="Q80" s="224" t="s">
        <v>6610</v>
      </c>
    </row>
    <row r="81" customFormat="false" ht="54.75" hidden="false" customHeight="true" outlineLevel="0" collapsed="false">
      <c r="A81" s="226" t="s">
        <v>7831</v>
      </c>
      <c r="B81" s="226" t="s">
        <v>8935</v>
      </c>
      <c r="C81" s="235" t="s">
        <v>8948</v>
      </c>
      <c r="D81" s="226" t="s">
        <v>7832</v>
      </c>
      <c r="E81" s="236" t="s">
        <v>8831</v>
      </c>
      <c r="F81" s="236" t="s">
        <v>8832</v>
      </c>
      <c r="G81" s="226" t="s">
        <v>620</v>
      </c>
      <c r="H81" s="226" t="s">
        <v>620</v>
      </c>
      <c r="I81" s="236" t="s">
        <v>8833</v>
      </c>
      <c r="J81" s="226" t="s">
        <v>8937</v>
      </c>
      <c r="K81" s="235" t="s">
        <v>8835</v>
      </c>
      <c r="L81" s="224" t="s">
        <v>8706</v>
      </c>
      <c r="M81" s="6" t="s">
        <v>8788</v>
      </c>
      <c r="N81" s="28" t="s">
        <v>620</v>
      </c>
      <c r="O81" s="28" t="s">
        <v>620</v>
      </c>
      <c r="P81" s="28" t="s">
        <v>8860</v>
      </c>
      <c r="Q81" s="224" t="s">
        <v>6717</v>
      </c>
    </row>
    <row r="82" customFormat="false" ht="29.25" hidden="false" customHeight="true" outlineLevel="0" collapsed="false">
      <c r="A82" s="226" t="s">
        <v>7863</v>
      </c>
      <c r="B82" s="226" t="s">
        <v>8935</v>
      </c>
      <c r="C82" s="235" t="s">
        <v>8949</v>
      </c>
      <c r="D82" s="226" t="s">
        <v>7858</v>
      </c>
      <c r="E82" s="236" t="s">
        <v>8831</v>
      </c>
      <c r="F82" s="236" t="s">
        <v>8832</v>
      </c>
      <c r="G82" s="226" t="s">
        <v>620</v>
      </c>
      <c r="H82" s="226" t="s">
        <v>620</v>
      </c>
      <c r="I82" s="236" t="s">
        <v>8833</v>
      </c>
      <c r="J82" s="226" t="s">
        <v>8937</v>
      </c>
      <c r="K82" s="235" t="s">
        <v>8835</v>
      </c>
      <c r="L82" s="224" t="s">
        <v>8706</v>
      </c>
      <c r="M82" s="6" t="s">
        <v>8950</v>
      </c>
      <c r="N82" s="28" t="s">
        <v>620</v>
      </c>
      <c r="O82" s="28" t="s">
        <v>620</v>
      </c>
      <c r="P82" s="28" t="s">
        <v>8836</v>
      </c>
      <c r="Q82" s="224" t="s">
        <v>6717</v>
      </c>
    </row>
    <row r="83" customFormat="false" ht="43.5" hidden="false" customHeight="true" outlineLevel="0" collapsed="false">
      <c r="A83" s="226" t="s">
        <v>7997</v>
      </c>
      <c r="B83" s="226" t="s">
        <v>8935</v>
      </c>
      <c r="C83" s="235" t="s">
        <v>8951</v>
      </c>
      <c r="D83" s="226" t="s">
        <v>7998</v>
      </c>
      <c r="E83" s="236" t="s">
        <v>8831</v>
      </c>
      <c r="F83" s="236" t="s">
        <v>8832</v>
      </c>
      <c r="G83" s="226" t="s">
        <v>620</v>
      </c>
      <c r="H83" s="226" t="s">
        <v>620</v>
      </c>
      <c r="I83" s="236" t="s">
        <v>8833</v>
      </c>
      <c r="J83" s="226" t="s">
        <v>8937</v>
      </c>
      <c r="K83" s="235" t="s">
        <v>8835</v>
      </c>
      <c r="L83" s="224" t="s">
        <v>8706</v>
      </c>
      <c r="M83" s="6" t="s">
        <v>8768</v>
      </c>
      <c r="N83" s="28" t="s">
        <v>620</v>
      </c>
      <c r="O83" s="28" t="s">
        <v>620</v>
      </c>
      <c r="P83" s="28" t="s">
        <v>8860</v>
      </c>
      <c r="Q83" s="224" t="s">
        <v>6610</v>
      </c>
    </row>
    <row r="84" customFormat="false" ht="72" hidden="false" customHeight="true" outlineLevel="0" collapsed="false">
      <c r="A84" s="226" t="s">
        <v>7928</v>
      </c>
      <c r="B84" s="226" t="s">
        <v>8935</v>
      </c>
      <c r="C84" s="235" t="s">
        <v>8952</v>
      </c>
      <c r="D84" s="226" t="s">
        <v>1978</v>
      </c>
      <c r="E84" s="236" t="s">
        <v>8831</v>
      </c>
      <c r="F84" s="236" t="s">
        <v>8832</v>
      </c>
      <c r="G84" s="226" t="s">
        <v>620</v>
      </c>
      <c r="H84" s="226" t="s">
        <v>620</v>
      </c>
      <c r="I84" s="236" t="s">
        <v>8833</v>
      </c>
      <c r="J84" s="226" t="s">
        <v>8937</v>
      </c>
      <c r="K84" s="235" t="s">
        <v>8835</v>
      </c>
      <c r="L84" s="224" t="s">
        <v>8706</v>
      </c>
      <c r="M84" s="6" t="s">
        <v>8806</v>
      </c>
      <c r="N84" s="28" t="s">
        <v>620</v>
      </c>
      <c r="O84" s="28" t="s">
        <v>620</v>
      </c>
      <c r="P84" s="28" t="s">
        <v>8860</v>
      </c>
      <c r="Q84" s="224" t="s">
        <v>6610</v>
      </c>
    </row>
    <row r="85" customFormat="false" ht="72" hidden="false" customHeight="true" outlineLevel="0" collapsed="false">
      <c r="A85" s="226" t="s">
        <v>7879</v>
      </c>
      <c r="B85" s="226" t="s">
        <v>8935</v>
      </c>
      <c r="C85" s="235" t="s">
        <v>8953</v>
      </c>
      <c r="D85" s="226" t="s">
        <v>1997</v>
      </c>
      <c r="E85" s="236" t="s">
        <v>8831</v>
      </c>
      <c r="F85" s="236" t="s">
        <v>8832</v>
      </c>
      <c r="G85" s="226" t="s">
        <v>620</v>
      </c>
      <c r="H85" s="226" t="s">
        <v>620</v>
      </c>
      <c r="I85" s="236" t="s">
        <v>8833</v>
      </c>
      <c r="J85" s="226" t="s">
        <v>8937</v>
      </c>
      <c r="K85" s="235" t="s">
        <v>8835</v>
      </c>
      <c r="L85" s="224" t="s">
        <v>8706</v>
      </c>
      <c r="M85" s="6" t="s">
        <v>8818</v>
      </c>
      <c r="N85" s="28" t="s">
        <v>620</v>
      </c>
      <c r="O85" s="28" t="s">
        <v>620</v>
      </c>
      <c r="P85" s="28" t="s">
        <v>8860</v>
      </c>
      <c r="Q85" s="224" t="s">
        <v>6717</v>
      </c>
    </row>
    <row r="86" customFormat="false" ht="29.25" hidden="false" customHeight="true" outlineLevel="0" collapsed="false">
      <c r="A86" s="226" t="s">
        <v>7966</v>
      </c>
      <c r="B86" s="226" t="s">
        <v>8935</v>
      </c>
      <c r="C86" s="235" t="s">
        <v>8954</v>
      </c>
      <c r="D86" s="226" t="s">
        <v>7967</v>
      </c>
      <c r="E86" s="236" t="s">
        <v>8831</v>
      </c>
      <c r="F86" s="236" t="s">
        <v>8832</v>
      </c>
      <c r="G86" s="226" t="s">
        <v>620</v>
      </c>
      <c r="H86" s="226" t="s">
        <v>620</v>
      </c>
      <c r="I86" s="236" t="s">
        <v>8833</v>
      </c>
      <c r="J86" s="226" t="s">
        <v>8937</v>
      </c>
      <c r="K86" s="235" t="s">
        <v>8835</v>
      </c>
      <c r="L86" s="224" t="s">
        <v>8706</v>
      </c>
      <c r="M86" s="6" t="s">
        <v>8955</v>
      </c>
      <c r="N86" s="28" t="s">
        <v>620</v>
      </c>
      <c r="O86" s="28" t="s">
        <v>620</v>
      </c>
      <c r="P86" s="28" t="s">
        <v>8860</v>
      </c>
      <c r="Q86" s="224" t="s">
        <v>6717</v>
      </c>
    </row>
    <row r="87" customFormat="false" ht="29.25" hidden="false" customHeight="true" outlineLevel="0" collapsed="false">
      <c r="A87" s="226" t="s">
        <v>7976</v>
      </c>
      <c r="B87" s="226" t="s">
        <v>8935</v>
      </c>
      <c r="C87" s="235" t="s">
        <v>8956</v>
      </c>
      <c r="D87" s="226" t="s">
        <v>7977</v>
      </c>
      <c r="E87" s="236" t="s">
        <v>8831</v>
      </c>
      <c r="F87" s="236" t="s">
        <v>8832</v>
      </c>
      <c r="G87" s="226" t="s">
        <v>620</v>
      </c>
      <c r="H87" s="226" t="s">
        <v>620</v>
      </c>
      <c r="I87" s="236" t="s">
        <v>8833</v>
      </c>
      <c r="J87" s="226" t="s">
        <v>8937</v>
      </c>
      <c r="K87" s="235" t="s">
        <v>8835</v>
      </c>
      <c r="L87" s="224" t="s">
        <v>8706</v>
      </c>
      <c r="M87" s="6" t="s">
        <v>7971</v>
      </c>
      <c r="N87" s="28" t="s">
        <v>620</v>
      </c>
      <c r="O87" s="28" t="s">
        <v>620</v>
      </c>
      <c r="P87" s="28" t="s">
        <v>8860</v>
      </c>
      <c r="Q87" s="224" t="s">
        <v>6610</v>
      </c>
    </row>
    <row r="88" customFormat="false" ht="86.25" hidden="false" customHeight="true" outlineLevel="0" collapsed="false">
      <c r="A88" s="226" t="s">
        <v>7567</v>
      </c>
      <c r="B88" s="226" t="s">
        <v>8935</v>
      </c>
      <c r="C88" s="235" t="s">
        <v>8957</v>
      </c>
      <c r="D88" s="226" t="s">
        <v>7475</v>
      </c>
      <c r="E88" s="236" t="s">
        <v>8958</v>
      </c>
      <c r="F88" s="226" t="s">
        <v>8959</v>
      </c>
      <c r="G88" s="226" t="s">
        <v>620</v>
      </c>
      <c r="H88" s="226" t="s">
        <v>8960</v>
      </c>
      <c r="I88" s="236" t="s">
        <v>8961</v>
      </c>
      <c r="J88" s="226" t="s">
        <v>8937</v>
      </c>
      <c r="K88" s="235" t="s">
        <v>8962</v>
      </c>
      <c r="L88" s="224" t="s">
        <v>8706</v>
      </c>
      <c r="M88" s="6" t="s">
        <v>8963</v>
      </c>
      <c r="N88" s="28" t="s">
        <v>620</v>
      </c>
      <c r="O88" s="28" t="s">
        <v>620</v>
      </c>
      <c r="P88" s="28" t="s">
        <v>8885</v>
      </c>
      <c r="Q88" s="224" t="s">
        <v>6610</v>
      </c>
    </row>
    <row r="89" customFormat="false" ht="100.5" hidden="false" customHeight="true" outlineLevel="0" collapsed="false">
      <c r="A89" s="226" t="s">
        <v>7306</v>
      </c>
      <c r="B89" s="226" t="s">
        <v>8935</v>
      </c>
      <c r="C89" s="235" t="s">
        <v>8964</v>
      </c>
      <c r="D89" s="226" t="s">
        <v>7307</v>
      </c>
      <c r="E89" s="236" t="s">
        <v>8958</v>
      </c>
      <c r="F89" s="226" t="s">
        <v>8965</v>
      </c>
      <c r="G89" s="226" t="s">
        <v>8966</v>
      </c>
      <c r="H89" s="226" t="s">
        <v>8967</v>
      </c>
      <c r="I89" s="236" t="s">
        <v>8961</v>
      </c>
      <c r="J89" s="226" t="s">
        <v>8937</v>
      </c>
      <c r="K89" s="237" t="s">
        <v>8968</v>
      </c>
      <c r="L89" s="224" t="s">
        <v>8706</v>
      </c>
      <c r="M89" s="6" t="s">
        <v>8969</v>
      </c>
      <c r="N89" s="28" t="s">
        <v>620</v>
      </c>
      <c r="O89" s="28" t="s">
        <v>620</v>
      </c>
      <c r="P89" s="28" t="s">
        <v>8885</v>
      </c>
      <c r="Q89" s="224" t="s">
        <v>6610</v>
      </c>
    </row>
    <row r="90" customFormat="false" ht="15" hidden="false" customHeight="true" outlineLevel="0" collapsed="false">
      <c r="A90" s="226" t="s">
        <v>8025</v>
      </c>
      <c r="B90" s="226" t="s">
        <v>6107</v>
      </c>
      <c r="C90" s="235" t="s">
        <v>8970</v>
      </c>
      <c r="D90" s="226" t="s">
        <v>8971</v>
      </c>
      <c r="E90" s="236" t="s">
        <v>8972</v>
      </c>
      <c r="F90" s="226" t="s">
        <v>8973</v>
      </c>
      <c r="G90" s="226" t="s">
        <v>620</v>
      </c>
      <c r="H90" s="226" t="s">
        <v>8974</v>
      </c>
      <c r="I90" s="236" t="s">
        <v>8975</v>
      </c>
      <c r="J90" s="226" t="s">
        <v>8976</v>
      </c>
      <c r="K90" s="235" t="s">
        <v>8977</v>
      </c>
      <c r="L90" s="224" t="s">
        <v>8706</v>
      </c>
      <c r="M90" s="6" t="s">
        <v>5484</v>
      </c>
      <c r="N90" s="28" t="s">
        <v>620</v>
      </c>
      <c r="O90" s="28" t="s">
        <v>8978</v>
      </c>
      <c r="P90" s="28" t="s">
        <v>8860</v>
      </c>
      <c r="Q90" s="224" t="s">
        <v>6610</v>
      </c>
    </row>
    <row r="91" customFormat="false" ht="39" hidden="false" customHeight="true" outlineLevel="0" collapsed="false">
      <c r="A91" s="226" t="s">
        <v>8979</v>
      </c>
      <c r="B91" s="226" t="s">
        <v>6107</v>
      </c>
      <c r="C91" s="235" t="s">
        <v>8980</v>
      </c>
      <c r="D91" s="226" t="s">
        <v>8981</v>
      </c>
      <c r="E91" s="236" t="s">
        <v>8972</v>
      </c>
      <c r="F91" s="236" t="s">
        <v>8982</v>
      </c>
      <c r="G91" s="226" t="s">
        <v>620</v>
      </c>
      <c r="H91" s="226" t="s">
        <v>8983</v>
      </c>
      <c r="I91" s="236" t="s">
        <v>8975</v>
      </c>
      <c r="J91" s="226" t="s">
        <v>8976</v>
      </c>
      <c r="K91" s="237" t="s">
        <v>8984</v>
      </c>
      <c r="L91" s="224" t="s">
        <v>8706</v>
      </c>
      <c r="M91" s="6" t="s">
        <v>5683</v>
      </c>
      <c r="N91" s="28" t="s">
        <v>620</v>
      </c>
      <c r="O91" s="28" t="s">
        <v>8978</v>
      </c>
      <c r="P91" s="28" t="s">
        <v>8860</v>
      </c>
      <c r="Q91" s="224" t="s">
        <v>6610</v>
      </c>
    </row>
    <row r="92" customFormat="false" ht="15" hidden="false" customHeight="true" outlineLevel="0" collapsed="false">
      <c r="A92" s="226" t="s">
        <v>8040</v>
      </c>
      <c r="B92" s="226" t="s">
        <v>6107</v>
      </c>
      <c r="C92" s="235" t="s">
        <v>8985</v>
      </c>
      <c r="D92" s="226" t="s">
        <v>8986</v>
      </c>
      <c r="E92" s="236" t="s">
        <v>8972</v>
      </c>
      <c r="F92" s="226" t="s">
        <v>8973</v>
      </c>
      <c r="G92" s="226" t="s">
        <v>620</v>
      </c>
      <c r="H92" s="226" t="s">
        <v>8987</v>
      </c>
      <c r="I92" s="236" t="s">
        <v>8975</v>
      </c>
      <c r="J92" s="226" t="s">
        <v>8976</v>
      </c>
      <c r="K92" s="237" t="s">
        <v>8988</v>
      </c>
      <c r="L92" s="224" t="s">
        <v>8706</v>
      </c>
      <c r="M92" s="6" t="s">
        <v>5491</v>
      </c>
      <c r="N92" s="28" t="s">
        <v>620</v>
      </c>
      <c r="O92" s="28" t="s">
        <v>8978</v>
      </c>
      <c r="P92" s="28" t="s">
        <v>8860</v>
      </c>
      <c r="Q92" s="224" t="s">
        <v>6610</v>
      </c>
    </row>
    <row r="93" customFormat="false" ht="26.25" hidden="false" customHeight="true" outlineLevel="0" collapsed="false">
      <c r="A93" s="226" t="s">
        <v>8989</v>
      </c>
      <c r="B93" s="226" t="s">
        <v>6107</v>
      </c>
      <c r="C93" s="237" t="s">
        <v>8990</v>
      </c>
      <c r="D93" s="226" t="s">
        <v>8991</v>
      </c>
      <c r="E93" s="236" t="s">
        <v>8972</v>
      </c>
      <c r="F93" s="226" t="s">
        <v>8992</v>
      </c>
      <c r="G93" s="226" t="s">
        <v>620</v>
      </c>
      <c r="H93" s="226" t="s">
        <v>8993</v>
      </c>
      <c r="I93" s="236" t="s">
        <v>8975</v>
      </c>
      <c r="J93" s="226" t="s">
        <v>8976</v>
      </c>
      <c r="K93" s="237" t="s">
        <v>8994</v>
      </c>
      <c r="L93" s="224" t="s">
        <v>8706</v>
      </c>
      <c r="M93" s="6" t="s">
        <v>3034</v>
      </c>
      <c r="N93" s="28" t="s">
        <v>620</v>
      </c>
      <c r="O93" s="28" t="s">
        <v>8978</v>
      </c>
      <c r="P93" s="28" t="s">
        <v>8860</v>
      </c>
      <c r="Q93" s="224" t="s">
        <v>6717</v>
      </c>
    </row>
    <row r="94" customFormat="false" ht="51.75" hidden="false" customHeight="true" outlineLevel="0" collapsed="false">
      <c r="A94" s="226" t="s">
        <v>8995</v>
      </c>
      <c r="B94" s="226" t="s">
        <v>6120</v>
      </c>
      <c r="C94" s="235" t="s">
        <v>8996</v>
      </c>
      <c r="D94" s="226" t="s">
        <v>8997</v>
      </c>
      <c r="E94" s="236" t="s">
        <v>8998</v>
      </c>
      <c r="F94" s="226" t="s">
        <v>8999</v>
      </c>
      <c r="G94" s="226" t="s">
        <v>9000</v>
      </c>
      <c r="H94" s="226" t="s">
        <v>9001</v>
      </c>
      <c r="I94" s="236" t="s">
        <v>9002</v>
      </c>
      <c r="J94" s="226" t="s">
        <v>9003</v>
      </c>
      <c r="K94" s="237" t="s">
        <v>9004</v>
      </c>
      <c r="L94" s="224" t="s">
        <v>8706</v>
      </c>
      <c r="M94" s="6" t="s">
        <v>4376</v>
      </c>
      <c r="N94" s="28" t="s">
        <v>620</v>
      </c>
      <c r="O94" s="28" t="s">
        <v>9005</v>
      </c>
      <c r="P94" s="28" t="s">
        <v>8885</v>
      </c>
      <c r="Q94" s="224" t="s">
        <v>6610</v>
      </c>
    </row>
    <row r="95" customFormat="false" ht="51.75" hidden="false" customHeight="true" outlineLevel="0" collapsed="false">
      <c r="A95" s="226" t="s">
        <v>9006</v>
      </c>
      <c r="B95" s="226" t="s">
        <v>6120</v>
      </c>
      <c r="C95" s="235" t="s">
        <v>9007</v>
      </c>
      <c r="D95" s="226" t="s">
        <v>8997</v>
      </c>
      <c r="E95" s="236" t="s">
        <v>8998</v>
      </c>
      <c r="F95" s="226" t="s">
        <v>9008</v>
      </c>
      <c r="G95" s="226" t="s">
        <v>9009</v>
      </c>
      <c r="H95" s="226" t="s">
        <v>9010</v>
      </c>
      <c r="I95" s="236" t="s">
        <v>9002</v>
      </c>
      <c r="J95" s="226" t="s">
        <v>9003</v>
      </c>
      <c r="K95" s="237" t="s">
        <v>9004</v>
      </c>
      <c r="L95" s="224" t="s">
        <v>8706</v>
      </c>
      <c r="M95" s="6" t="s">
        <v>4373</v>
      </c>
      <c r="N95" s="28" t="s">
        <v>620</v>
      </c>
      <c r="O95" s="28" t="s">
        <v>9005</v>
      </c>
      <c r="P95" s="28" t="s">
        <v>8885</v>
      </c>
      <c r="Q95" s="224" t="s">
        <v>6610</v>
      </c>
    </row>
    <row r="96" customFormat="false" ht="51.75" hidden="false" customHeight="true" outlineLevel="0" collapsed="false">
      <c r="A96" s="226" t="s">
        <v>9011</v>
      </c>
      <c r="B96" s="226" t="s">
        <v>6120</v>
      </c>
      <c r="C96" s="235" t="s">
        <v>9012</v>
      </c>
      <c r="D96" s="226" t="s">
        <v>9013</v>
      </c>
      <c r="E96" s="236" t="s">
        <v>8998</v>
      </c>
      <c r="F96" s="226" t="s">
        <v>9014</v>
      </c>
      <c r="G96" s="226" t="s">
        <v>9015</v>
      </c>
      <c r="H96" s="226" t="s">
        <v>9016</v>
      </c>
      <c r="I96" s="236" t="s">
        <v>9002</v>
      </c>
      <c r="J96" s="226" t="s">
        <v>9003</v>
      </c>
      <c r="K96" s="237" t="s">
        <v>9017</v>
      </c>
      <c r="L96" s="224" t="s">
        <v>8706</v>
      </c>
      <c r="M96" s="6" t="s">
        <v>4378</v>
      </c>
      <c r="N96" s="28" t="s">
        <v>620</v>
      </c>
      <c r="O96" s="28" t="s">
        <v>9005</v>
      </c>
      <c r="P96" s="28" t="s">
        <v>8885</v>
      </c>
      <c r="Q96" s="224" t="s">
        <v>6610</v>
      </c>
    </row>
    <row r="97" customFormat="false" ht="51.75" hidden="false" customHeight="true" outlineLevel="0" collapsed="false">
      <c r="A97" s="226" t="s">
        <v>9018</v>
      </c>
      <c r="B97" s="226" t="s">
        <v>6120</v>
      </c>
      <c r="C97" s="235" t="s">
        <v>9019</v>
      </c>
      <c r="D97" s="226" t="s">
        <v>9013</v>
      </c>
      <c r="E97" s="236" t="s">
        <v>8998</v>
      </c>
      <c r="F97" s="226" t="s">
        <v>9020</v>
      </c>
      <c r="G97" s="226" t="s">
        <v>9021</v>
      </c>
      <c r="H97" s="226" t="s">
        <v>9022</v>
      </c>
      <c r="I97" s="236" t="s">
        <v>9002</v>
      </c>
      <c r="J97" s="226" t="s">
        <v>9003</v>
      </c>
      <c r="K97" s="237" t="s">
        <v>9023</v>
      </c>
      <c r="L97" s="224" t="s">
        <v>8706</v>
      </c>
      <c r="M97" s="6" t="s">
        <v>4382</v>
      </c>
      <c r="N97" s="28" t="s">
        <v>620</v>
      </c>
      <c r="O97" s="28" t="s">
        <v>9005</v>
      </c>
      <c r="P97" s="28" t="s">
        <v>8885</v>
      </c>
      <c r="Q97" s="224" t="s">
        <v>6610</v>
      </c>
    </row>
    <row r="98" customFormat="false" ht="51.75" hidden="false" customHeight="true" outlineLevel="0" collapsed="false">
      <c r="A98" s="226" t="s">
        <v>9024</v>
      </c>
      <c r="B98" s="226" t="s">
        <v>6120</v>
      </c>
      <c r="C98" s="235" t="s">
        <v>9025</v>
      </c>
      <c r="D98" s="226" t="s">
        <v>9013</v>
      </c>
      <c r="E98" s="236" t="s">
        <v>8998</v>
      </c>
      <c r="F98" s="226" t="s">
        <v>9026</v>
      </c>
      <c r="G98" s="226" t="s">
        <v>9027</v>
      </c>
      <c r="H98" s="226" t="s">
        <v>9028</v>
      </c>
      <c r="I98" s="236" t="s">
        <v>9002</v>
      </c>
      <c r="J98" s="226" t="s">
        <v>9003</v>
      </c>
      <c r="K98" s="237" t="s">
        <v>9029</v>
      </c>
      <c r="L98" s="224" t="s">
        <v>8706</v>
      </c>
      <c r="M98" s="6" t="s">
        <v>4385</v>
      </c>
      <c r="N98" s="28" t="s">
        <v>620</v>
      </c>
      <c r="O98" s="28" t="s">
        <v>9005</v>
      </c>
      <c r="P98" s="28" t="s">
        <v>8885</v>
      </c>
      <c r="Q98" s="224" t="s">
        <v>6610</v>
      </c>
    </row>
    <row r="99" customFormat="false" ht="39" hidden="false" customHeight="true" outlineLevel="0" collapsed="false">
      <c r="A99" s="226" t="s">
        <v>9030</v>
      </c>
      <c r="B99" s="226" t="s">
        <v>6120</v>
      </c>
      <c r="C99" s="235" t="s">
        <v>9031</v>
      </c>
      <c r="D99" s="226" t="s">
        <v>7317</v>
      </c>
      <c r="E99" s="236" t="s">
        <v>8998</v>
      </c>
      <c r="F99" s="226" t="s">
        <v>9032</v>
      </c>
      <c r="G99" s="226" t="s">
        <v>9033</v>
      </c>
      <c r="H99" s="226" t="s">
        <v>9034</v>
      </c>
      <c r="I99" s="236" t="s">
        <v>9002</v>
      </c>
      <c r="J99" s="226" t="s">
        <v>9003</v>
      </c>
      <c r="K99" s="237" t="s">
        <v>9035</v>
      </c>
      <c r="L99" s="224" t="s">
        <v>8706</v>
      </c>
      <c r="M99" s="6" t="s">
        <v>4387</v>
      </c>
      <c r="N99" s="28" t="s">
        <v>620</v>
      </c>
      <c r="O99" s="28" t="s">
        <v>9005</v>
      </c>
      <c r="P99" s="28" t="s">
        <v>8885</v>
      </c>
      <c r="Q99" s="224" t="s">
        <v>6610</v>
      </c>
    </row>
    <row r="100" customFormat="false" ht="51.75" hidden="false" customHeight="true" outlineLevel="0" collapsed="false">
      <c r="A100" s="226" t="s">
        <v>9036</v>
      </c>
      <c r="B100" s="226" t="s">
        <v>6120</v>
      </c>
      <c r="C100" s="235" t="s">
        <v>9037</v>
      </c>
      <c r="D100" s="226" t="s">
        <v>9013</v>
      </c>
      <c r="E100" s="236" t="s">
        <v>8998</v>
      </c>
      <c r="F100" s="226" t="s">
        <v>9038</v>
      </c>
      <c r="G100" s="226" t="s">
        <v>9039</v>
      </c>
      <c r="H100" s="226" t="s">
        <v>9040</v>
      </c>
      <c r="I100" s="236" t="s">
        <v>9002</v>
      </c>
      <c r="J100" s="226" t="s">
        <v>9003</v>
      </c>
      <c r="K100" s="237" t="s">
        <v>9041</v>
      </c>
      <c r="L100" s="224" t="s">
        <v>8706</v>
      </c>
      <c r="M100" s="6" t="s">
        <v>4390</v>
      </c>
      <c r="N100" s="28" t="s">
        <v>620</v>
      </c>
      <c r="O100" s="28" t="s">
        <v>9005</v>
      </c>
      <c r="P100" s="28" t="s">
        <v>8885</v>
      </c>
      <c r="Q100" s="224" t="s">
        <v>6610</v>
      </c>
    </row>
    <row r="101" customFormat="false" ht="51.75" hidden="false" customHeight="true" outlineLevel="0" collapsed="false">
      <c r="A101" s="226" t="s">
        <v>9042</v>
      </c>
      <c r="B101" s="226" t="s">
        <v>6120</v>
      </c>
      <c r="C101" s="235" t="s">
        <v>9043</v>
      </c>
      <c r="D101" s="226" t="s">
        <v>9013</v>
      </c>
      <c r="E101" s="236" t="s">
        <v>8998</v>
      </c>
      <c r="F101" s="226" t="s">
        <v>9044</v>
      </c>
      <c r="G101" s="226" t="s">
        <v>9045</v>
      </c>
      <c r="H101" s="226" t="s">
        <v>9046</v>
      </c>
      <c r="I101" s="236" t="s">
        <v>9002</v>
      </c>
      <c r="J101" s="226" t="s">
        <v>9003</v>
      </c>
      <c r="K101" s="237" t="s">
        <v>9047</v>
      </c>
      <c r="L101" s="224" t="s">
        <v>8706</v>
      </c>
      <c r="M101" s="6" t="s">
        <v>4394</v>
      </c>
      <c r="N101" s="28" t="s">
        <v>620</v>
      </c>
      <c r="O101" s="28" t="s">
        <v>9005</v>
      </c>
      <c r="P101" s="28" t="s">
        <v>8885</v>
      </c>
      <c r="Q101" s="224" t="s">
        <v>6610</v>
      </c>
    </row>
    <row r="102" customFormat="false" ht="51.75" hidden="false" customHeight="true" outlineLevel="0" collapsed="false">
      <c r="A102" s="226" t="s">
        <v>9048</v>
      </c>
      <c r="B102" s="226" t="s">
        <v>6120</v>
      </c>
      <c r="C102" s="235" t="s">
        <v>9049</v>
      </c>
      <c r="D102" s="226" t="s">
        <v>9013</v>
      </c>
      <c r="E102" s="236" t="s">
        <v>8998</v>
      </c>
      <c r="F102" s="226" t="s">
        <v>9050</v>
      </c>
      <c r="G102" s="226" t="s">
        <v>9051</v>
      </c>
      <c r="H102" s="226" t="s">
        <v>9052</v>
      </c>
      <c r="I102" s="236" t="s">
        <v>9002</v>
      </c>
      <c r="J102" s="226" t="s">
        <v>9003</v>
      </c>
      <c r="K102" s="237" t="s">
        <v>9053</v>
      </c>
      <c r="L102" s="224" t="s">
        <v>8706</v>
      </c>
      <c r="M102" s="6" t="s">
        <v>4398</v>
      </c>
      <c r="N102" s="28" t="s">
        <v>620</v>
      </c>
      <c r="O102" s="28" t="s">
        <v>9005</v>
      </c>
      <c r="P102" s="28" t="s">
        <v>8885</v>
      </c>
      <c r="Q102" s="224" t="s">
        <v>6610</v>
      </c>
    </row>
    <row r="103" customFormat="false" ht="39" hidden="false" customHeight="true" outlineLevel="0" collapsed="false">
      <c r="A103" s="226" t="s">
        <v>9054</v>
      </c>
      <c r="B103" s="226" t="s">
        <v>6120</v>
      </c>
      <c r="C103" s="235" t="s">
        <v>9055</v>
      </c>
      <c r="D103" s="226" t="s">
        <v>9013</v>
      </c>
      <c r="E103" s="236" t="s">
        <v>8998</v>
      </c>
      <c r="F103" s="226" t="s">
        <v>9056</v>
      </c>
      <c r="G103" s="226" t="s">
        <v>9057</v>
      </c>
      <c r="H103" s="226" t="s">
        <v>9058</v>
      </c>
      <c r="I103" s="236" t="s">
        <v>9002</v>
      </c>
      <c r="J103" s="226" t="s">
        <v>9003</v>
      </c>
      <c r="K103" s="237" t="s">
        <v>9059</v>
      </c>
      <c r="L103" s="224" t="s">
        <v>8706</v>
      </c>
      <c r="M103" s="6" t="s">
        <v>4407</v>
      </c>
      <c r="N103" s="28" t="s">
        <v>620</v>
      </c>
      <c r="O103" s="28" t="s">
        <v>9005</v>
      </c>
      <c r="P103" s="28" t="s">
        <v>8885</v>
      </c>
      <c r="Q103" s="224" t="s">
        <v>6610</v>
      </c>
    </row>
    <row r="104" customFormat="false" ht="51.75" hidden="false" customHeight="true" outlineLevel="0" collapsed="false">
      <c r="A104" s="226" t="s">
        <v>9060</v>
      </c>
      <c r="B104" s="226" t="s">
        <v>6120</v>
      </c>
      <c r="C104" s="235" t="s">
        <v>9061</v>
      </c>
      <c r="D104" s="226" t="s">
        <v>9013</v>
      </c>
      <c r="E104" s="236" t="s">
        <v>8998</v>
      </c>
      <c r="F104" s="226" t="s">
        <v>9062</v>
      </c>
      <c r="G104" s="226" t="s">
        <v>9063</v>
      </c>
      <c r="H104" s="226" t="s">
        <v>9064</v>
      </c>
      <c r="I104" s="236" t="s">
        <v>9002</v>
      </c>
      <c r="J104" s="226" t="s">
        <v>9003</v>
      </c>
      <c r="K104" s="237" t="s">
        <v>9065</v>
      </c>
      <c r="L104" s="224" t="s">
        <v>8706</v>
      </c>
      <c r="M104" s="6" t="s">
        <v>4411</v>
      </c>
      <c r="N104" s="28" t="s">
        <v>620</v>
      </c>
      <c r="O104" s="28" t="s">
        <v>9005</v>
      </c>
      <c r="P104" s="28" t="s">
        <v>8885</v>
      </c>
      <c r="Q104" s="224" t="s">
        <v>6610</v>
      </c>
    </row>
    <row r="105" customFormat="false" ht="64.5" hidden="false" customHeight="true" outlineLevel="0" collapsed="false">
      <c r="A105" s="226" t="s">
        <v>9066</v>
      </c>
      <c r="B105" s="226" t="s">
        <v>6120</v>
      </c>
      <c r="C105" s="235" t="s">
        <v>9067</v>
      </c>
      <c r="D105" s="226" t="s">
        <v>9068</v>
      </c>
      <c r="E105" s="236" t="s">
        <v>8998</v>
      </c>
      <c r="F105" s="226" t="s">
        <v>9069</v>
      </c>
      <c r="G105" s="226" t="s">
        <v>9070</v>
      </c>
      <c r="H105" s="236" t="s">
        <v>9071</v>
      </c>
      <c r="I105" s="236" t="s">
        <v>9002</v>
      </c>
      <c r="J105" s="226" t="s">
        <v>9003</v>
      </c>
      <c r="K105" s="237" t="s">
        <v>9072</v>
      </c>
      <c r="L105" s="224" t="s">
        <v>8706</v>
      </c>
      <c r="M105" s="6" t="s">
        <v>4074</v>
      </c>
      <c r="N105" s="28" t="s">
        <v>620</v>
      </c>
      <c r="O105" s="28" t="s">
        <v>9005</v>
      </c>
      <c r="P105" s="28" t="s">
        <v>8885</v>
      </c>
      <c r="Q105" s="224" t="s">
        <v>6610</v>
      </c>
    </row>
    <row r="106" customFormat="false" ht="50.25" hidden="false" customHeight="true" outlineLevel="0" collapsed="false">
      <c r="A106" s="226" t="s">
        <v>9073</v>
      </c>
      <c r="B106" s="226" t="s">
        <v>6120</v>
      </c>
      <c r="C106" s="235" t="s">
        <v>9074</v>
      </c>
      <c r="D106" s="226" t="s">
        <v>9075</v>
      </c>
      <c r="E106" s="236" t="s">
        <v>8998</v>
      </c>
      <c r="F106" s="226" t="s">
        <v>9076</v>
      </c>
      <c r="G106" s="226" t="s">
        <v>9077</v>
      </c>
      <c r="H106" s="226" t="s">
        <v>9078</v>
      </c>
      <c r="I106" s="236" t="s">
        <v>9002</v>
      </c>
      <c r="J106" s="226" t="s">
        <v>9003</v>
      </c>
      <c r="K106" s="237" t="s">
        <v>9079</v>
      </c>
      <c r="L106" s="224" t="s">
        <v>8706</v>
      </c>
      <c r="M106" s="6" t="s">
        <v>4165</v>
      </c>
      <c r="N106" s="28" t="s">
        <v>620</v>
      </c>
      <c r="O106" s="28" t="s">
        <v>9005</v>
      </c>
      <c r="P106" s="28" t="s">
        <v>8885</v>
      </c>
      <c r="Q106" s="224" t="s">
        <v>6610</v>
      </c>
    </row>
    <row r="107" customFormat="false" ht="51.75" hidden="false" customHeight="true" outlineLevel="0" collapsed="false">
      <c r="A107" s="226" t="s">
        <v>9080</v>
      </c>
      <c r="B107" s="226" t="s">
        <v>6120</v>
      </c>
      <c r="C107" s="235" t="s">
        <v>9081</v>
      </c>
      <c r="D107" s="226" t="s">
        <v>9082</v>
      </c>
      <c r="E107" s="236" t="s">
        <v>8998</v>
      </c>
      <c r="F107" s="226" t="s">
        <v>9083</v>
      </c>
      <c r="G107" s="226" t="s">
        <v>9084</v>
      </c>
      <c r="H107" s="226" t="s">
        <v>9085</v>
      </c>
      <c r="I107" s="236" t="s">
        <v>9002</v>
      </c>
      <c r="J107" s="226" t="s">
        <v>9003</v>
      </c>
      <c r="K107" s="237" t="s">
        <v>9086</v>
      </c>
      <c r="L107" s="224" t="s">
        <v>8706</v>
      </c>
      <c r="M107" s="6" t="s">
        <v>4167</v>
      </c>
      <c r="N107" s="28" t="s">
        <v>620</v>
      </c>
      <c r="O107" s="28" t="s">
        <v>9005</v>
      </c>
      <c r="P107" s="28" t="s">
        <v>8885</v>
      </c>
      <c r="Q107" s="224" t="s">
        <v>6610</v>
      </c>
    </row>
    <row r="108" customFormat="false" ht="77.25" hidden="false" customHeight="true" outlineLevel="0" collapsed="false">
      <c r="A108" s="226" t="s">
        <v>9087</v>
      </c>
      <c r="B108" s="226" t="s">
        <v>6120</v>
      </c>
      <c r="C108" s="235" t="s">
        <v>9088</v>
      </c>
      <c r="D108" s="226" t="s">
        <v>9089</v>
      </c>
      <c r="E108" s="236" t="s">
        <v>8998</v>
      </c>
      <c r="F108" s="226" t="s">
        <v>9090</v>
      </c>
      <c r="G108" s="226" t="s">
        <v>9091</v>
      </c>
      <c r="H108" s="226" t="s">
        <v>9092</v>
      </c>
      <c r="I108" s="236" t="s">
        <v>9002</v>
      </c>
      <c r="J108" s="226" t="s">
        <v>9003</v>
      </c>
      <c r="K108" s="237" t="s">
        <v>9093</v>
      </c>
      <c r="L108" s="224" t="s">
        <v>8706</v>
      </c>
      <c r="M108" s="6" t="s">
        <v>4161</v>
      </c>
      <c r="N108" s="28" t="s">
        <v>620</v>
      </c>
      <c r="O108" s="28" t="s">
        <v>9005</v>
      </c>
      <c r="P108" s="28" t="s">
        <v>8885</v>
      </c>
      <c r="Q108" s="224" t="s">
        <v>6610</v>
      </c>
    </row>
    <row r="109" customFormat="false" ht="50.25" hidden="false" customHeight="true" outlineLevel="0" collapsed="false">
      <c r="A109" s="226" t="s">
        <v>9094</v>
      </c>
      <c r="B109" s="226" t="s">
        <v>6120</v>
      </c>
      <c r="C109" s="235" t="s">
        <v>9095</v>
      </c>
      <c r="D109" s="226" t="s">
        <v>9075</v>
      </c>
      <c r="E109" s="236" t="s">
        <v>8998</v>
      </c>
      <c r="F109" s="226" t="s">
        <v>9096</v>
      </c>
      <c r="G109" s="226" t="s">
        <v>9097</v>
      </c>
      <c r="H109" s="226" t="s">
        <v>9098</v>
      </c>
      <c r="I109" s="236" t="s">
        <v>9002</v>
      </c>
      <c r="J109" s="226" t="s">
        <v>9003</v>
      </c>
      <c r="K109" s="237" t="s">
        <v>9099</v>
      </c>
      <c r="L109" s="224" t="s">
        <v>8706</v>
      </c>
      <c r="M109" s="6" t="s">
        <v>4341</v>
      </c>
      <c r="N109" s="28" t="s">
        <v>620</v>
      </c>
      <c r="O109" s="28" t="s">
        <v>9005</v>
      </c>
      <c r="P109" s="28" t="s">
        <v>8885</v>
      </c>
      <c r="Q109" s="224" t="s">
        <v>6610</v>
      </c>
    </row>
    <row r="110" customFormat="false" ht="64.5" hidden="false" customHeight="true" outlineLevel="0" collapsed="false">
      <c r="A110" s="226" t="s">
        <v>5746</v>
      </c>
      <c r="B110" s="226" t="s">
        <v>6120</v>
      </c>
      <c r="C110" s="235" t="s">
        <v>9100</v>
      </c>
      <c r="D110" s="226" t="s">
        <v>9101</v>
      </c>
      <c r="E110" s="236" t="s">
        <v>8998</v>
      </c>
      <c r="F110" s="226" t="s">
        <v>9102</v>
      </c>
      <c r="G110" s="226" t="s">
        <v>9103</v>
      </c>
      <c r="H110" s="226" t="s">
        <v>9104</v>
      </c>
      <c r="I110" s="236" t="s">
        <v>9002</v>
      </c>
      <c r="J110" s="226" t="s">
        <v>9003</v>
      </c>
      <c r="K110" s="237" t="s">
        <v>9105</v>
      </c>
      <c r="L110" s="224" t="s">
        <v>8706</v>
      </c>
      <c r="M110" s="6" t="s">
        <v>4050</v>
      </c>
      <c r="N110" s="28" t="s">
        <v>620</v>
      </c>
      <c r="O110" s="28" t="s">
        <v>9005</v>
      </c>
      <c r="P110" s="28" t="s">
        <v>8885</v>
      </c>
      <c r="Q110" s="224" t="s">
        <v>6610</v>
      </c>
    </row>
    <row r="111" customFormat="false" ht="77.25" hidden="false" customHeight="true" outlineLevel="0" collapsed="false">
      <c r="A111" s="226" t="s">
        <v>9106</v>
      </c>
      <c r="B111" s="226" t="s">
        <v>6120</v>
      </c>
      <c r="C111" s="235" t="s">
        <v>9107</v>
      </c>
      <c r="D111" s="226" t="s">
        <v>9108</v>
      </c>
      <c r="E111" s="236" t="s">
        <v>8998</v>
      </c>
      <c r="F111" s="236" t="s">
        <v>9109</v>
      </c>
      <c r="G111" s="236" t="s">
        <v>9110</v>
      </c>
      <c r="H111" s="226" t="s">
        <v>9111</v>
      </c>
      <c r="I111" s="236" t="s">
        <v>9002</v>
      </c>
      <c r="J111" s="226" t="s">
        <v>9003</v>
      </c>
      <c r="K111" s="237" t="s">
        <v>9112</v>
      </c>
      <c r="L111" s="224" t="s">
        <v>8706</v>
      </c>
      <c r="M111" s="6" t="s">
        <v>5260</v>
      </c>
      <c r="N111" s="28" t="s">
        <v>620</v>
      </c>
      <c r="O111" s="28" t="s">
        <v>9005</v>
      </c>
      <c r="P111" s="28" t="s">
        <v>8885</v>
      </c>
      <c r="Q111" s="224" t="s">
        <v>6610</v>
      </c>
    </row>
    <row r="112" customFormat="false" ht="39" hidden="false" customHeight="true" outlineLevel="0" collapsed="false">
      <c r="A112" s="226" t="s">
        <v>9113</v>
      </c>
      <c r="B112" s="226" t="s">
        <v>6120</v>
      </c>
      <c r="C112" s="235" t="s">
        <v>9114</v>
      </c>
      <c r="D112" s="226" t="s">
        <v>9108</v>
      </c>
      <c r="E112" s="236" t="s">
        <v>8998</v>
      </c>
      <c r="F112" s="226" t="s">
        <v>9115</v>
      </c>
      <c r="G112" s="226" t="s">
        <v>9116</v>
      </c>
      <c r="H112" s="236" t="s">
        <v>9117</v>
      </c>
      <c r="I112" s="236" t="s">
        <v>9002</v>
      </c>
      <c r="J112" s="226" t="s">
        <v>9003</v>
      </c>
      <c r="K112" s="237" t="s">
        <v>9118</v>
      </c>
      <c r="L112" s="224" t="s">
        <v>8706</v>
      </c>
      <c r="M112" s="6" t="s">
        <v>5265</v>
      </c>
      <c r="N112" s="28" t="s">
        <v>620</v>
      </c>
      <c r="O112" s="28" t="s">
        <v>9005</v>
      </c>
      <c r="P112" s="28" t="s">
        <v>8885</v>
      </c>
      <c r="Q112" s="224" t="s">
        <v>6610</v>
      </c>
    </row>
    <row r="113" customFormat="false" ht="77.25" hidden="false" customHeight="true" outlineLevel="0" collapsed="false">
      <c r="A113" s="226" t="s">
        <v>9119</v>
      </c>
      <c r="B113" s="226" t="s">
        <v>6120</v>
      </c>
      <c r="C113" s="235" t="s">
        <v>9120</v>
      </c>
      <c r="D113" s="226" t="s">
        <v>9121</v>
      </c>
      <c r="E113" s="236" t="s">
        <v>8998</v>
      </c>
      <c r="F113" s="226" t="s">
        <v>9122</v>
      </c>
      <c r="G113" s="226" t="s">
        <v>9123</v>
      </c>
      <c r="H113" s="226" t="s">
        <v>9123</v>
      </c>
      <c r="I113" s="236" t="s">
        <v>9002</v>
      </c>
      <c r="J113" s="226" t="s">
        <v>9003</v>
      </c>
      <c r="K113" s="237" t="s">
        <v>9124</v>
      </c>
      <c r="L113" s="224" t="s">
        <v>8706</v>
      </c>
      <c r="M113" s="6" t="s">
        <v>7853</v>
      </c>
      <c r="N113" s="28" t="s">
        <v>620</v>
      </c>
      <c r="O113" s="28" t="s">
        <v>9005</v>
      </c>
      <c r="P113" s="28" t="s">
        <v>8885</v>
      </c>
      <c r="Q113" s="224" t="s">
        <v>6717</v>
      </c>
    </row>
    <row r="114" customFormat="false" ht="37.5" hidden="false" customHeight="true" outlineLevel="0" collapsed="false">
      <c r="A114" s="226" t="s">
        <v>9125</v>
      </c>
      <c r="B114" s="226" t="s">
        <v>6120</v>
      </c>
      <c r="C114" s="235" t="s">
        <v>9126</v>
      </c>
      <c r="D114" s="226" t="s">
        <v>9121</v>
      </c>
      <c r="E114" s="236" t="s">
        <v>8998</v>
      </c>
      <c r="F114" s="226" t="s">
        <v>9127</v>
      </c>
      <c r="G114" s="226" t="s">
        <v>9128</v>
      </c>
      <c r="H114" s="226" t="s">
        <v>9128</v>
      </c>
      <c r="I114" s="236" t="s">
        <v>9002</v>
      </c>
      <c r="J114" s="226" t="s">
        <v>9003</v>
      </c>
      <c r="K114" s="237" t="s">
        <v>9129</v>
      </c>
      <c r="L114" s="224" t="s">
        <v>8706</v>
      </c>
      <c r="M114" s="6" t="s">
        <v>7868</v>
      </c>
      <c r="N114" s="28" t="s">
        <v>620</v>
      </c>
      <c r="O114" s="28" t="s">
        <v>9005</v>
      </c>
      <c r="P114" s="28" t="s">
        <v>8885</v>
      </c>
      <c r="Q114" s="224" t="s">
        <v>6717</v>
      </c>
    </row>
    <row r="115" customFormat="false" ht="51.75" hidden="false" customHeight="true" outlineLevel="0" collapsed="false">
      <c r="A115" s="226" t="s">
        <v>9130</v>
      </c>
      <c r="B115" s="226" t="s">
        <v>6120</v>
      </c>
      <c r="C115" s="237" t="s">
        <v>9131</v>
      </c>
      <c r="D115" s="226" t="s">
        <v>9132</v>
      </c>
      <c r="E115" s="236" t="s">
        <v>8998</v>
      </c>
      <c r="F115" s="226" t="s">
        <v>9133</v>
      </c>
      <c r="G115" s="236" t="s">
        <v>9134</v>
      </c>
      <c r="H115" s="226" t="s">
        <v>9135</v>
      </c>
      <c r="I115" s="236" t="s">
        <v>9002</v>
      </c>
      <c r="J115" s="226" t="s">
        <v>9003</v>
      </c>
      <c r="K115" s="237" t="s">
        <v>9136</v>
      </c>
      <c r="L115" s="224" t="s">
        <v>8706</v>
      </c>
      <c r="M115" s="6" t="s">
        <v>3034</v>
      </c>
      <c r="N115" s="28" t="s">
        <v>620</v>
      </c>
      <c r="O115" s="28" t="s">
        <v>9005</v>
      </c>
      <c r="P115" s="28" t="s">
        <v>8885</v>
      </c>
      <c r="Q115" s="224" t="s">
        <v>6717</v>
      </c>
    </row>
    <row r="116" customFormat="false" ht="64.5" hidden="false" customHeight="true" outlineLevel="0" collapsed="false">
      <c r="A116" s="226" t="s">
        <v>9137</v>
      </c>
      <c r="B116" s="226" t="s">
        <v>6120</v>
      </c>
      <c r="C116" s="235" t="s">
        <v>9138</v>
      </c>
      <c r="D116" s="226" t="s">
        <v>9139</v>
      </c>
      <c r="E116" s="236" t="s">
        <v>8998</v>
      </c>
      <c r="F116" s="236" t="s">
        <v>9140</v>
      </c>
      <c r="G116" s="226" t="s">
        <v>9141</v>
      </c>
      <c r="H116" s="226" t="s">
        <v>9142</v>
      </c>
      <c r="I116" s="236" t="s">
        <v>9143</v>
      </c>
      <c r="J116" s="226" t="s">
        <v>9003</v>
      </c>
      <c r="K116" s="237" t="s">
        <v>9144</v>
      </c>
      <c r="L116" s="224" t="s">
        <v>8706</v>
      </c>
      <c r="M116" s="6" t="s">
        <v>5683</v>
      </c>
      <c r="N116" s="28" t="s">
        <v>620</v>
      </c>
      <c r="O116" s="28" t="s">
        <v>9005</v>
      </c>
      <c r="P116" s="28" t="s">
        <v>8885</v>
      </c>
      <c r="Q116" s="28" t="s">
        <v>212</v>
      </c>
    </row>
    <row r="117" customFormat="false" ht="77.25" hidden="false" customHeight="true" outlineLevel="0" collapsed="false">
      <c r="A117" s="226" t="s">
        <v>9145</v>
      </c>
      <c r="B117" s="226" t="s">
        <v>6120</v>
      </c>
      <c r="C117" s="235" t="s">
        <v>9146</v>
      </c>
      <c r="D117" s="226" t="s">
        <v>9147</v>
      </c>
      <c r="E117" s="236" t="s">
        <v>8998</v>
      </c>
      <c r="F117" s="226" t="s">
        <v>9148</v>
      </c>
      <c r="G117" s="226" t="s">
        <v>9149</v>
      </c>
      <c r="H117" s="226" t="s">
        <v>9150</v>
      </c>
      <c r="I117" s="236" t="s">
        <v>9151</v>
      </c>
      <c r="J117" s="226" t="s">
        <v>9003</v>
      </c>
      <c r="K117" s="237" t="s">
        <v>9152</v>
      </c>
      <c r="L117" s="224" t="s">
        <v>8706</v>
      </c>
      <c r="M117" s="6" t="s">
        <v>4085</v>
      </c>
      <c r="N117" s="28" t="s">
        <v>620</v>
      </c>
      <c r="O117" s="28" t="s">
        <v>9153</v>
      </c>
      <c r="P117" s="28" t="s">
        <v>8885</v>
      </c>
      <c r="Q117" s="224" t="s">
        <v>6610</v>
      </c>
    </row>
    <row r="118" customFormat="false" ht="64.5" hidden="false" customHeight="true" outlineLevel="0" collapsed="false">
      <c r="A118" s="226" t="s">
        <v>6950</v>
      </c>
      <c r="B118" s="226" t="s">
        <v>6120</v>
      </c>
      <c r="C118" s="235" t="s">
        <v>9154</v>
      </c>
      <c r="D118" s="226" t="s">
        <v>9155</v>
      </c>
      <c r="E118" s="236" t="s">
        <v>8998</v>
      </c>
      <c r="F118" s="236" t="s">
        <v>6951</v>
      </c>
      <c r="G118" s="226" t="s">
        <v>620</v>
      </c>
      <c r="H118" s="226" t="s">
        <v>9156</v>
      </c>
      <c r="I118" s="236" t="s">
        <v>9157</v>
      </c>
      <c r="J118" s="226" t="s">
        <v>9003</v>
      </c>
      <c r="K118" s="237" t="s">
        <v>9158</v>
      </c>
      <c r="L118" s="224" t="s">
        <v>8706</v>
      </c>
      <c r="M118" s="6" t="s">
        <v>6945</v>
      </c>
      <c r="N118" s="28" t="s">
        <v>620</v>
      </c>
      <c r="O118" s="28" t="s">
        <v>620</v>
      </c>
      <c r="P118" s="28" t="s">
        <v>8885</v>
      </c>
      <c r="Q118" s="224" t="s">
        <v>6610</v>
      </c>
    </row>
    <row r="119" customFormat="false" ht="64.5" hidden="false" customHeight="true" outlineLevel="0" collapsed="false">
      <c r="A119" s="226" t="s">
        <v>9159</v>
      </c>
      <c r="B119" s="226" t="s">
        <v>6120</v>
      </c>
      <c r="C119" s="235" t="s">
        <v>9160</v>
      </c>
      <c r="D119" s="226" t="s">
        <v>9161</v>
      </c>
      <c r="E119" s="236" t="s">
        <v>8998</v>
      </c>
      <c r="F119" s="226" t="s">
        <v>9162</v>
      </c>
      <c r="G119" s="226" t="s">
        <v>9163</v>
      </c>
      <c r="H119" s="226" t="s">
        <v>9164</v>
      </c>
      <c r="I119" s="236" t="s">
        <v>9165</v>
      </c>
      <c r="J119" s="226" t="s">
        <v>9003</v>
      </c>
      <c r="K119" s="237" t="s">
        <v>9166</v>
      </c>
      <c r="L119" s="224" t="s">
        <v>8706</v>
      </c>
      <c r="M119" s="6" t="s">
        <v>4062</v>
      </c>
      <c r="N119" s="28" t="s">
        <v>620</v>
      </c>
      <c r="O119" s="28" t="s">
        <v>9167</v>
      </c>
      <c r="P119" s="28" t="s">
        <v>8885</v>
      </c>
      <c r="Q119" s="224" t="s">
        <v>6610</v>
      </c>
    </row>
    <row r="120" customFormat="false" ht="64.5" hidden="false" customHeight="true" outlineLevel="0" collapsed="false">
      <c r="A120" s="226" t="s">
        <v>9168</v>
      </c>
      <c r="B120" s="226" t="s">
        <v>6141</v>
      </c>
      <c r="C120" s="235" t="s">
        <v>9169</v>
      </c>
      <c r="D120" s="226" t="s">
        <v>9170</v>
      </c>
      <c r="E120" s="236" t="s">
        <v>9171</v>
      </c>
      <c r="F120" s="226" t="s">
        <v>9172</v>
      </c>
      <c r="G120" s="226" t="s">
        <v>9173</v>
      </c>
      <c r="H120" s="236" t="s">
        <v>9174</v>
      </c>
      <c r="I120" s="236" t="s">
        <v>9175</v>
      </c>
      <c r="J120" s="226" t="s">
        <v>9003</v>
      </c>
      <c r="K120" s="237" t="s">
        <v>9176</v>
      </c>
      <c r="L120" s="224" t="s">
        <v>8706</v>
      </c>
      <c r="M120" s="6" t="s">
        <v>4104</v>
      </c>
      <c r="N120" s="28" t="s">
        <v>620</v>
      </c>
      <c r="O120" s="28" t="s">
        <v>620</v>
      </c>
      <c r="P120" s="28" t="s">
        <v>8860</v>
      </c>
      <c r="Q120" s="224" t="s">
        <v>6610</v>
      </c>
    </row>
    <row r="121" customFormat="false" ht="64.5" hidden="false" customHeight="true" outlineLevel="0" collapsed="false">
      <c r="A121" s="226" t="s">
        <v>9177</v>
      </c>
      <c r="B121" s="226" t="s">
        <v>6120</v>
      </c>
      <c r="C121" s="235" t="s">
        <v>9178</v>
      </c>
      <c r="D121" s="236" t="s">
        <v>9179</v>
      </c>
      <c r="E121" s="236" t="s">
        <v>9171</v>
      </c>
      <c r="F121" s="226" t="s">
        <v>9180</v>
      </c>
      <c r="G121" s="226" t="s">
        <v>9173</v>
      </c>
      <c r="H121" s="236" t="s">
        <v>9181</v>
      </c>
      <c r="I121" s="236" t="s">
        <v>9182</v>
      </c>
      <c r="J121" s="226" t="s">
        <v>9003</v>
      </c>
      <c r="K121" s="237" t="s">
        <v>9183</v>
      </c>
      <c r="L121" s="224" t="s">
        <v>8706</v>
      </c>
      <c r="M121" s="6" t="s">
        <v>4104</v>
      </c>
      <c r="N121" s="28" t="s">
        <v>620</v>
      </c>
      <c r="O121" s="28" t="s">
        <v>9005</v>
      </c>
      <c r="P121" s="28" t="s">
        <v>8860</v>
      </c>
      <c r="Q121" s="224" t="s">
        <v>9184</v>
      </c>
    </row>
    <row r="122" customFormat="false" ht="90" hidden="false" customHeight="true" outlineLevel="0" collapsed="false">
      <c r="A122" s="226" t="s">
        <v>9185</v>
      </c>
      <c r="B122" s="226" t="s">
        <v>6120</v>
      </c>
      <c r="C122" s="235" t="s">
        <v>9186</v>
      </c>
      <c r="D122" s="226" t="s">
        <v>9187</v>
      </c>
      <c r="E122" s="236" t="s">
        <v>9171</v>
      </c>
      <c r="F122" s="226" t="s">
        <v>9188</v>
      </c>
      <c r="G122" s="226" t="s">
        <v>9189</v>
      </c>
      <c r="H122" s="236" t="s">
        <v>9190</v>
      </c>
      <c r="I122" s="236" t="s">
        <v>9182</v>
      </c>
      <c r="J122" s="226" t="s">
        <v>9003</v>
      </c>
      <c r="K122" s="237" t="s">
        <v>9191</v>
      </c>
      <c r="L122" s="224" t="s">
        <v>8706</v>
      </c>
      <c r="M122" s="6" t="s">
        <v>4064</v>
      </c>
      <c r="N122" s="28" t="s">
        <v>620</v>
      </c>
      <c r="O122" s="28" t="s">
        <v>9005</v>
      </c>
      <c r="P122" s="28" t="s">
        <v>8860</v>
      </c>
      <c r="Q122" s="28" t="s">
        <v>9192</v>
      </c>
    </row>
    <row r="123" customFormat="false" ht="90" hidden="false" customHeight="true" outlineLevel="0" collapsed="false">
      <c r="A123" s="226" t="s">
        <v>9193</v>
      </c>
      <c r="B123" s="226" t="s">
        <v>6120</v>
      </c>
      <c r="C123" s="235" t="s">
        <v>9194</v>
      </c>
      <c r="D123" s="226" t="s">
        <v>9195</v>
      </c>
      <c r="E123" s="236" t="s">
        <v>9171</v>
      </c>
      <c r="F123" s="226" t="s">
        <v>9196</v>
      </c>
      <c r="G123" s="226" t="s">
        <v>9197</v>
      </c>
      <c r="H123" s="236" t="s">
        <v>9198</v>
      </c>
      <c r="I123" s="236" t="s">
        <v>9182</v>
      </c>
      <c r="J123" s="226" t="s">
        <v>9003</v>
      </c>
      <c r="K123" s="237" t="s">
        <v>9199</v>
      </c>
      <c r="L123" s="224" t="s">
        <v>8706</v>
      </c>
      <c r="M123" s="6" t="s">
        <v>4108</v>
      </c>
      <c r="N123" s="28" t="s">
        <v>620</v>
      </c>
      <c r="O123" s="28" t="s">
        <v>9005</v>
      </c>
      <c r="P123" s="28" t="s">
        <v>8860</v>
      </c>
      <c r="Q123" s="28" t="s">
        <v>9200</v>
      </c>
    </row>
    <row r="124" customFormat="false" ht="101.25" hidden="false" customHeight="true" outlineLevel="0" collapsed="false">
      <c r="A124" s="226" t="s">
        <v>9201</v>
      </c>
      <c r="B124" s="226" t="s">
        <v>6120</v>
      </c>
      <c r="C124" s="235" t="s">
        <v>9202</v>
      </c>
      <c r="D124" s="226" t="s">
        <v>9187</v>
      </c>
      <c r="E124" s="236" t="s">
        <v>9171</v>
      </c>
      <c r="F124" s="226" t="s">
        <v>9203</v>
      </c>
      <c r="G124" s="226" t="s">
        <v>9204</v>
      </c>
      <c r="H124" s="236" t="s">
        <v>9205</v>
      </c>
      <c r="I124" s="236" t="s">
        <v>9182</v>
      </c>
      <c r="J124" s="226" t="s">
        <v>9003</v>
      </c>
      <c r="K124" s="237" t="s">
        <v>9206</v>
      </c>
      <c r="L124" s="224" t="s">
        <v>8706</v>
      </c>
      <c r="M124" s="6" t="s">
        <v>4149</v>
      </c>
      <c r="N124" s="28" t="s">
        <v>620</v>
      </c>
      <c r="O124" s="28" t="s">
        <v>9005</v>
      </c>
      <c r="P124" s="28" t="s">
        <v>8860</v>
      </c>
      <c r="Q124" s="28" t="s">
        <v>9207</v>
      </c>
    </row>
    <row r="125" customFormat="false" ht="115.5" hidden="false" customHeight="true" outlineLevel="0" collapsed="false">
      <c r="A125" s="226" t="s">
        <v>9208</v>
      </c>
      <c r="B125" s="226" t="s">
        <v>6120</v>
      </c>
      <c r="C125" s="235" t="s">
        <v>9209</v>
      </c>
      <c r="D125" s="226" t="s">
        <v>9210</v>
      </c>
      <c r="E125" s="236" t="s">
        <v>9171</v>
      </c>
      <c r="F125" s="226" t="s">
        <v>9211</v>
      </c>
      <c r="G125" s="226" t="s">
        <v>9212</v>
      </c>
      <c r="H125" s="236" t="s">
        <v>9213</v>
      </c>
      <c r="I125" s="236" t="s">
        <v>9182</v>
      </c>
      <c r="J125" s="226" t="s">
        <v>9003</v>
      </c>
      <c r="K125" s="237" t="s">
        <v>9214</v>
      </c>
      <c r="L125" s="224" t="s">
        <v>8706</v>
      </c>
      <c r="M125" s="6" t="s">
        <v>4115</v>
      </c>
      <c r="N125" s="28" t="s">
        <v>620</v>
      </c>
      <c r="O125" s="28" t="s">
        <v>9005</v>
      </c>
      <c r="P125" s="28" t="s">
        <v>8860</v>
      </c>
      <c r="Q125" s="28" t="s">
        <v>9215</v>
      </c>
    </row>
    <row r="126" customFormat="false" ht="115.5" hidden="false" customHeight="true" outlineLevel="0" collapsed="false">
      <c r="A126" s="226" t="s">
        <v>9216</v>
      </c>
      <c r="B126" s="226" t="s">
        <v>6120</v>
      </c>
      <c r="C126" s="235" t="s">
        <v>9217</v>
      </c>
      <c r="D126" s="226" t="s">
        <v>9218</v>
      </c>
      <c r="E126" s="236" t="s">
        <v>9171</v>
      </c>
      <c r="F126" s="226" t="s">
        <v>9219</v>
      </c>
      <c r="G126" s="226" t="s">
        <v>9220</v>
      </c>
      <c r="H126" s="236" t="s">
        <v>9221</v>
      </c>
      <c r="I126" s="236" t="s">
        <v>9222</v>
      </c>
      <c r="J126" s="226" t="s">
        <v>9003</v>
      </c>
      <c r="K126" s="237" t="s">
        <v>9223</v>
      </c>
      <c r="L126" s="224" t="s">
        <v>8706</v>
      </c>
      <c r="M126" s="6" t="s">
        <v>4639</v>
      </c>
      <c r="N126" s="28" t="s">
        <v>620</v>
      </c>
      <c r="O126" s="28" t="s">
        <v>9005</v>
      </c>
      <c r="P126" s="28" t="s">
        <v>8860</v>
      </c>
      <c r="Q126" s="224" t="s">
        <v>6610</v>
      </c>
    </row>
    <row r="127" customFormat="false" ht="115.5" hidden="false" customHeight="true" outlineLevel="0" collapsed="false">
      <c r="A127" s="226" t="s">
        <v>9224</v>
      </c>
      <c r="B127" s="226" t="s">
        <v>6120</v>
      </c>
      <c r="C127" s="235" t="s">
        <v>9225</v>
      </c>
      <c r="D127" s="226" t="s">
        <v>9218</v>
      </c>
      <c r="E127" s="236" t="s">
        <v>9171</v>
      </c>
      <c r="F127" s="226" t="s">
        <v>9226</v>
      </c>
      <c r="G127" s="226" t="s">
        <v>9227</v>
      </c>
      <c r="H127" s="236" t="s">
        <v>9228</v>
      </c>
      <c r="I127" s="236" t="s">
        <v>9222</v>
      </c>
      <c r="J127" s="226" t="s">
        <v>9003</v>
      </c>
      <c r="K127" s="237" t="s">
        <v>9229</v>
      </c>
      <c r="L127" s="224" t="s">
        <v>8706</v>
      </c>
      <c r="M127" s="6" t="s">
        <v>4648</v>
      </c>
      <c r="N127" s="28" t="s">
        <v>620</v>
      </c>
      <c r="O127" s="28" t="s">
        <v>9005</v>
      </c>
      <c r="P127" s="28" t="s">
        <v>8860</v>
      </c>
      <c r="Q127" s="224" t="s">
        <v>9230</v>
      </c>
    </row>
    <row r="128" customFormat="false" ht="77.25" hidden="false" customHeight="true" outlineLevel="0" collapsed="false">
      <c r="A128" s="226" t="s">
        <v>9231</v>
      </c>
      <c r="B128" s="226" t="s">
        <v>6120</v>
      </c>
      <c r="C128" s="235" t="s">
        <v>9232</v>
      </c>
      <c r="D128" s="226" t="s">
        <v>9233</v>
      </c>
      <c r="E128" s="236" t="s">
        <v>9171</v>
      </c>
      <c r="F128" s="226" t="s">
        <v>9234</v>
      </c>
      <c r="G128" s="226" t="s">
        <v>620</v>
      </c>
      <c r="H128" s="226" t="s">
        <v>9235</v>
      </c>
      <c r="I128" s="236" t="s">
        <v>9236</v>
      </c>
      <c r="J128" s="226" t="s">
        <v>9003</v>
      </c>
      <c r="K128" s="237" t="s">
        <v>9237</v>
      </c>
      <c r="L128" s="224" t="s">
        <v>8706</v>
      </c>
      <c r="M128" s="6" t="s">
        <v>9238</v>
      </c>
      <c r="N128" s="28" t="s">
        <v>620</v>
      </c>
      <c r="O128" s="28" t="s">
        <v>620</v>
      </c>
      <c r="P128" s="28" t="s">
        <v>8860</v>
      </c>
      <c r="Q128" s="224" t="s">
        <v>6610</v>
      </c>
    </row>
    <row r="129" customFormat="false" ht="64.5" hidden="false" customHeight="true" outlineLevel="0" collapsed="false">
      <c r="A129" s="226" t="s">
        <v>7319</v>
      </c>
      <c r="B129" s="226" t="s">
        <v>6120</v>
      </c>
      <c r="C129" s="235" t="s">
        <v>9239</v>
      </c>
      <c r="D129" s="226" t="s">
        <v>9240</v>
      </c>
      <c r="E129" s="236" t="s">
        <v>8998</v>
      </c>
      <c r="F129" s="226" t="s">
        <v>9241</v>
      </c>
      <c r="G129" s="226" t="s">
        <v>9242</v>
      </c>
      <c r="H129" s="226" t="s">
        <v>9243</v>
      </c>
      <c r="I129" s="236" t="s">
        <v>9244</v>
      </c>
      <c r="J129" s="226" t="s">
        <v>9003</v>
      </c>
      <c r="K129" s="237" t="s">
        <v>9245</v>
      </c>
      <c r="L129" s="224" t="s">
        <v>8706</v>
      </c>
      <c r="M129" s="6" t="s">
        <v>9246</v>
      </c>
      <c r="N129" s="28" t="s">
        <v>620</v>
      </c>
      <c r="O129" s="28" t="s">
        <v>9247</v>
      </c>
      <c r="P129" s="28" t="s">
        <v>8885</v>
      </c>
      <c r="Q129" s="224" t="s">
        <v>6610</v>
      </c>
    </row>
    <row r="130" customFormat="false" ht="112.5" hidden="false" customHeight="true" outlineLevel="0" collapsed="false">
      <c r="A130" s="226" t="s">
        <v>6928</v>
      </c>
      <c r="B130" s="226" t="s">
        <v>6120</v>
      </c>
      <c r="C130" s="235" t="s">
        <v>9248</v>
      </c>
      <c r="D130" s="226" t="s">
        <v>9249</v>
      </c>
      <c r="E130" s="236" t="s">
        <v>8998</v>
      </c>
      <c r="F130" s="226" t="s">
        <v>9250</v>
      </c>
      <c r="G130" s="226" t="s">
        <v>9251</v>
      </c>
      <c r="H130" s="226" t="s">
        <v>9252</v>
      </c>
      <c r="I130" s="236" t="s">
        <v>9253</v>
      </c>
      <c r="J130" s="226" t="s">
        <v>9003</v>
      </c>
      <c r="K130" s="237" t="s">
        <v>9254</v>
      </c>
      <c r="L130" s="224" t="s">
        <v>8706</v>
      </c>
      <c r="M130" s="6" t="s">
        <v>9255</v>
      </c>
      <c r="N130" s="28" t="s">
        <v>9256</v>
      </c>
      <c r="O130" s="28" t="s">
        <v>9257</v>
      </c>
      <c r="P130" s="28" t="s">
        <v>8885</v>
      </c>
      <c r="Q130" s="224" t="s">
        <v>6610</v>
      </c>
    </row>
    <row r="131" customFormat="false" ht="51.75" hidden="false" customHeight="true" outlineLevel="0" collapsed="false">
      <c r="A131" s="226" t="s">
        <v>6942</v>
      </c>
      <c r="B131" s="226" t="s">
        <v>6120</v>
      </c>
      <c r="C131" s="235" t="s">
        <v>9258</v>
      </c>
      <c r="D131" s="226" t="s">
        <v>9259</v>
      </c>
      <c r="E131" s="236" t="s">
        <v>8998</v>
      </c>
      <c r="F131" s="226" t="s">
        <v>9260</v>
      </c>
      <c r="G131" s="226" t="s">
        <v>620</v>
      </c>
      <c r="H131" s="226" t="s">
        <v>9261</v>
      </c>
      <c r="I131" s="236" t="s">
        <v>9262</v>
      </c>
      <c r="J131" s="226" t="s">
        <v>9003</v>
      </c>
      <c r="K131" s="237" t="s">
        <v>9263</v>
      </c>
      <c r="L131" s="224" t="s">
        <v>8706</v>
      </c>
      <c r="M131" s="6" t="s">
        <v>4170</v>
      </c>
      <c r="N131" s="28" t="s">
        <v>620</v>
      </c>
      <c r="O131" s="28" t="s">
        <v>9264</v>
      </c>
      <c r="P131" s="28" t="s">
        <v>8885</v>
      </c>
      <c r="Q131" s="224" t="s">
        <v>6610</v>
      </c>
    </row>
    <row r="132" customFormat="false" ht="64.5" hidden="false" customHeight="true" outlineLevel="0" collapsed="false">
      <c r="A132" s="226" t="s">
        <v>9265</v>
      </c>
      <c r="B132" s="226" t="s">
        <v>6120</v>
      </c>
      <c r="C132" s="235" t="s">
        <v>9266</v>
      </c>
      <c r="D132" s="226" t="s">
        <v>9267</v>
      </c>
      <c r="E132" s="236" t="s">
        <v>8998</v>
      </c>
      <c r="F132" s="226" t="s">
        <v>9268</v>
      </c>
      <c r="G132" s="226" t="s">
        <v>9269</v>
      </c>
      <c r="H132" s="236" t="s">
        <v>9270</v>
      </c>
      <c r="I132" s="236" t="s">
        <v>9271</v>
      </c>
      <c r="J132" s="226" t="s">
        <v>9003</v>
      </c>
      <c r="K132" s="237" t="s">
        <v>9272</v>
      </c>
      <c r="L132" s="224" t="s">
        <v>8706</v>
      </c>
      <c r="M132" s="6" t="s">
        <v>620</v>
      </c>
      <c r="N132" s="28" t="s">
        <v>620</v>
      </c>
      <c r="O132" s="224" t="s">
        <v>9273</v>
      </c>
      <c r="P132" s="28" t="s">
        <v>104</v>
      </c>
      <c r="Q132" s="224" t="s">
        <v>9274</v>
      </c>
    </row>
    <row r="133" customFormat="false" ht="39" hidden="false" customHeight="true" outlineLevel="0" collapsed="false">
      <c r="A133" s="226" t="s">
        <v>9275</v>
      </c>
      <c r="B133" s="226" t="s">
        <v>6120</v>
      </c>
      <c r="C133" s="235" t="s">
        <v>9276</v>
      </c>
      <c r="D133" s="226" t="s">
        <v>9267</v>
      </c>
      <c r="E133" s="236" t="s">
        <v>8998</v>
      </c>
      <c r="F133" s="226" t="s">
        <v>9277</v>
      </c>
      <c r="G133" s="226" t="s">
        <v>9278</v>
      </c>
      <c r="H133" s="236" t="s">
        <v>9270</v>
      </c>
      <c r="I133" s="236" t="s">
        <v>9271</v>
      </c>
      <c r="J133" s="226" t="s">
        <v>9003</v>
      </c>
      <c r="K133" s="237" t="s">
        <v>9279</v>
      </c>
      <c r="L133" s="224" t="s">
        <v>8706</v>
      </c>
      <c r="M133" s="6" t="s">
        <v>620</v>
      </c>
      <c r="N133" s="28" t="s">
        <v>620</v>
      </c>
      <c r="O133" s="224" t="s">
        <v>9273</v>
      </c>
      <c r="P133" s="28" t="s">
        <v>104</v>
      </c>
      <c r="Q133" s="224" t="s">
        <v>9274</v>
      </c>
    </row>
    <row r="134" customFormat="false" ht="51.75" hidden="false" customHeight="true" outlineLevel="0" collapsed="false">
      <c r="A134" s="226" t="s">
        <v>9280</v>
      </c>
      <c r="B134" s="226" t="s">
        <v>6120</v>
      </c>
      <c r="C134" s="235" t="s">
        <v>9281</v>
      </c>
      <c r="D134" s="226" t="s">
        <v>9282</v>
      </c>
      <c r="E134" s="236" t="s">
        <v>8998</v>
      </c>
      <c r="F134" s="226" t="s">
        <v>9283</v>
      </c>
      <c r="G134" s="226" t="s">
        <v>9284</v>
      </c>
      <c r="H134" s="226" t="s">
        <v>9285</v>
      </c>
      <c r="I134" s="236" t="s">
        <v>9286</v>
      </c>
      <c r="J134" s="226" t="s">
        <v>9003</v>
      </c>
      <c r="K134" s="237" t="s">
        <v>9287</v>
      </c>
      <c r="L134" s="224" t="s">
        <v>8706</v>
      </c>
      <c r="M134" s="6" t="s">
        <v>620</v>
      </c>
      <c r="N134" s="28" t="s">
        <v>620</v>
      </c>
      <c r="O134" s="28" t="s">
        <v>620</v>
      </c>
      <c r="P134" s="28" t="s">
        <v>104</v>
      </c>
      <c r="Q134" s="224" t="s">
        <v>6610</v>
      </c>
    </row>
    <row r="135" customFormat="false" ht="39" hidden="false" customHeight="true" outlineLevel="0" collapsed="false">
      <c r="A135" s="226" t="s">
        <v>9288</v>
      </c>
      <c r="B135" s="226" t="s">
        <v>6120</v>
      </c>
      <c r="C135" s="235" t="s">
        <v>9289</v>
      </c>
      <c r="D135" s="226" t="s">
        <v>9267</v>
      </c>
      <c r="E135" s="236" t="s">
        <v>8998</v>
      </c>
      <c r="F135" s="226" t="s">
        <v>9290</v>
      </c>
      <c r="G135" s="226" t="s">
        <v>9291</v>
      </c>
      <c r="H135" s="226" t="s">
        <v>9292</v>
      </c>
      <c r="I135" s="236" t="s">
        <v>9293</v>
      </c>
      <c r="J135" s="226" t="s">
        <v>9003</v>
      </c>
      <c r="K135" s="237" t="s">
        <v>9294</v>
      </c>
      <c r="L135" s="224" t="s">
        <v>8706</v>
      </c>
      <c r="M135" s="6" t="s">
        <v>620</v>
      </c>
      <c r="N135" s="28" t="s">
        <v>620</v>
      </c>
      <c r="O135" s="224" t="s">
        <v>9295</v>
      </c>
      <c r="P135" s="28" t="s">
        <v>104</v>
      </c>
      <c r="Q135" s="224" t="s">
        <v>9274</v>
      </c>
    </row>
    <row r="136" customFormat="false" ht="51.75" hidden="false" customHeight="true" outlineLevel="0" collapsed="false">
      <c r="A136" s="226" t="s">
        <v>9296</v>
      </c>
      <c r="B136" s="226" t="s">
        <v>6120</v>
      </c>
      <c r="C136" s="235" t="s">
        <v>9297</v>
      </c>
      <c r="D136" s="226" t="s">
        <v>9267</v>
      </c>
      <c r="E136" s="236" t="s">
        <v>8998</v>
      </c>
      <c r="F136" s="226" t="s">
        <v>9298</v>
      </c>
      <c r="G136" s="226" t="s">
        <v>9299</v>
      </c>
      <c r="H136" s="236" t="s">
        <v>9300</v>
      </c>
      <c r="I136" s="236" t="s">
        <v>9301</v>
      </c>
      <c r="J136" s="226" t="s">
        <v>9003</v>
      </c>
      <c r="K136" s="237" t="s">
        <v>9302</v>
      </c>
      <c r="L136" s="224" t="s">
        <v>8706</v>
      </c>
      <c r="M136" s="6" t="s">
        <v>620</v>
      </c>
      <c r="N136" s="28" t="s">
        <v>620</v>
      </c>
      <c r="O136" s="28" t="s">
        <v>620</v>
      </c>
      <c r="P136" s="28" t="s">
        <v>620</v>
      </c>
      <c r="Q136" s="224" t="s">
        <v>9274</v>
      </c>
    </row>
    <row r="137" customFormat="false" ht="51.75" hidden="false" customHeight="true" outlineLevel="0" collapsed="false">
      <c r="A137" s="226" t="s">
        <v>9303</v>
      </c>
      <c r="B137" s="226" t="s">
        <v>6120</v>
      </c>
      <c r="C137" s="235" t="s">
        <v>9304</v>
      </c>
      <c r="D137" s="226" t="s">
        <v>9305</v>
      </c>
      <c r="E137" s="236" t="s">
        <v>8998</v>
      </c>
      <c r="F137" s="226" t="s">
        <v>9306</v>
      </c>
      <c r="G137" s="226" t="s">
        <v>9307</v>
      </c>
      <c r="H137" s="226" t="s">
        <v>620</v>
      </c>
      <c r="I137" s="236" t="s">
        <v>9301</v>
      </c>
      <c r="J137" s="226" t="s">
        <v>9003</v>
      </c>
      <c r="K137" s="237" t="s">
        <v>9308</v>
      </c>
      <c r="L137" s="224" t="s">
        <v>8706</v>
      </c>
      <c r="M137" s="6" t="s">
        <v>620</v>
      </c>
      <c r="N137" s="28" t="s">
        <v>620</v>
      </c>
      <c r="O137" s="28" t="s">
        <v>620</v>
      </c>
      <c r="P137" s="28" t="s">
        <v>104</v>
      </c>
      <c r="Q137" s="224" t="s">
        <v>6610</v>
      </c>
    </row>
    <row r="138" customFormat="false" ht="26.25" hidden="false" customHeight="true" outlineLevel="0" collapsed="false">
      <c r="A138" s="226" t="s">
        <v>9309</v>
      </c>
      <c r="B138" s="226" t="s">
        <v>6120</v>
      </c>
      <c r="C138" s="235" t="s">
        <v>9310</v>
      </c>
      <c r="D138" s="226" t="s">
        <v>9311</v>
      </c>
      <c r="E138" s="236" t="s">
        <v>9312</v>
      </c>
      <c r="F138" s="226" t="s">
        <v>9313</v>
      </c>
      <c r="G138" s="226" t="s">
        <v>620</v>
      </c>
      <c r="H138" s="226" t="s">
        <v>620</v>
      </c>
      <c r="I138" s="236" t="s">
        <v>9314</v>
      </c>
      <c r="J138" s="226" t="s">
        <v>9003</v>
      </c>
      <c r="K138" s="237" t="s">
        <v>9315</v>
      </c>
      <c r="L138" s="224" t="s">
        <v>8706</v>
      </c>
      <c r="M138" s="6" t="s">
        <v>620</v>
      </c>
      <c r="N138" s="28" t="s">
        <v>620</v>
      </c>
      <c r="O138" s="28" t="s">
        <v>620</v>
      </c>
      <c r="P138" s="28" t="s">
        <v>8836</v>
      </c>
      <c r="Q138" s="224" t="s">
        <v>6610</v>
      </c>
    </row>
    <row r="139" customFormat="false" ht="51.75" hidden="false" customHeight="true" outlineLevel="0" collapsed="false">
      <c r="A139" s="226" t="s">
        <v>9316</v>
      </c>
      <c r="B139" s="226" t="s">
        <v>6120</v>
      </c>
      <c r="C139" s="235" t="s">
        <v>9317</v>
      </c>
      <c r="D139" s="226" t="s">
        <v>9318</v>
      </c>
      <c r="E139" s="236" t="s">
        <v>9319</v>
      </c>
      <c r="F139" s="226" t="s">
        <v>9320</v>
      </c>
      <c r="G139" s="226" t="s">
        <v>620</v>
      </c>
      <c r="H139" s="226" t="s">
        <v>620</v>
      </c>
      <c r="I139" s="236" t="s">
        <v>9321</v>
      </c>
      <c r="J139" s="226" t="s">
        <v>9003</v>
      </c>
      <c r="K139" s="237" t="s">
        <v>9322</v>
      </c>
      <c r="L139" s="224" t="s">
        <v>8706</v>
      </c>
      <c r="M139" s="6" t="s">
        <v>620</v>
      </c>
      <c r="N139" s="28" t="s">
        <v>620</v>
      </c>
      <c r="O139" s="28" t="s">
        <v>620</v>
      </c>
      <c r="P139" s="28" t="s">
        <v>8836</v>
      </c>
      <c r="Q139" s="224" t="s">
        <v>6610</v>
      </c>
    </row>
    <row r="140" customFormat="false" ht="26.25" hidden="false" customHeight="true" outlineLevel="0" collapsed="false">
      <c r="A140" s="226" t="s">
        <v>9323</v>
      </c>
      <c r="B140" s="226" t="s">
        <v>6120</v>
      </c>
      <c r="C140" s="235" t="s">
        <v>9324</v>
      </c>
      <c r="D140" s="226" t="s">
        <v>9325</v>
      </c>
      <c r="E140" s="236" t="s">
        <v>9171</v>
      </c>
      <c r="F140" s="226" t="s">
        <v>9326</v>
      </c>
      <c r="G140" s="226" t="s">
        <v>9327</v>
      </c>
      <c r="H140" s="226" t="s">
        <v>9328</v>
      </c>
      <c r="I140" s="236" t="s">
        <v>9329</v>
      </c>
      <c r="J140" s="226" t="s">
        <v>9003</v>
      </c>
      <c r="K140" s="237" t="s">
        <v>9330</v>
      </c>
      <c r="L140" s="224" t="s">
        <v>8706</v>
      </c>
      <c r="M140" s="6" t="s">
        <v>620</v>
      </c>
      <c r="N140" s="28" t="s">
        <v>620</v>
      </c>
      <c r="O140" s="28" t="s">
        <v>9331</v>
      </c>
      <c r="P140" s="28" t="s">
        <v>104</v>
      </c>
      <c r="Q140" s="224" t="s">
        <v>6717</v>
      </c>
    </row>
    <row r="141" customFormat="false" ht="51.75" hidden="false" customHeight="true" outlineLevel="0" collapsed="false">
      <c r="A141" s="226" t="s">
        <v>9332</v>
      </c>
      <c r="B141" s="226" t="s">
        <v>6120</v>
      </c>
      <c r="C141" s="235" t="s">
        <v>9333</v>
      </c>
      <c r="D141" s="226" t="s">
        <v>9334</v>
      </c>
      <c r="E141" s="236" t="s">
        <v>8998</v>
      </c>
      <c r="F141" s="226" t="s">
        <v>9335</v>
      </c>
      <c r="G141" s="236" t="s">
        <v>9336</v>
      </c>
      <c r="H141" s="236" t="s">
        <v>9337</v>
      </c>
      <c r="I141" s="236" t="s">
        <v>9338</v>
      </c>
      <c r="J141" s="226" t="s">
        <v>9003</v>
      </c>
      <c r="K141" s="237" t="s">
        <v>9339</v>
      </c>
      <c r="L141" s="224" t="s">
        <v>8706</v>
      </c>
      <c r="M141" s="6" t="s">
        <v>620</v>
      </c>
      <c r="N141" s="28" t="s">
        <v>620</v>
      </c>
      <c r="O141" s="28" t="s">
        <v>9340</v>
      </c>
      <c r="P141" s="28" t="s">
        <v>620</v>
      </c>
      <c r="Q141" s="224" t="s">
        <v>6610</v>
      </c>
    </row>
    <row r="142" customFormat="false" ht="51.75" hidden="false" customHeight="true" outlineLevel="0" collapsed="false">
      <c r="A142" s="226" t="s">
        <v>9341</v>
      </c>
      <c r="B142" s="226" t="s">
        <v>6120</v>
      </c>
      <c r="C142" s="235" t="s">
        <v>9342</v>
      </c>
      <c r="D142" s="226" t="s">
        <v>9343</v>
      </c>
      <c r="E142" s="236" t="s">
        <v>8998</v>
      </c>
      <c r="F142" s="226" t="s">
        <v>9344</v>
      </c>
      <c r="G142" s="226" t="s">
        <v>9345</v>
      </c>
      <c r="H142" s="236" t="s">
        <v>9346</v>
      </c>
      <c r="I142" s="236" t="s">
        <v>9347</v>
      </c>
      <c r="J142" s="226" t="s">
        <v>9003</v>
      </c>
      <c r="K142" s="237" t="s">
        <v>9348</v>
      </c>
      <c r="L142" s="224" t="s">
        <v>8706</v>
      </c>
      <c r="M142" s="6" t="s">
        <v>620</v>
      </c>
      <c r="N142" s="28" t="s">
        <v>620</v>
      </c>
      <c r="O142" s="224" t="s">
        <v>9349</v>
      </c>
      <c r="P142" s="28" t="s">
        <v>147</v>
      </c>
      <c r="Q142" s="224" t="s">
        <v>6610</v>
      </c>
    </row>
    <row r="143" customFormat="false" ht="64.5" hidden="false" customHeight="true" outlineLevel="0" collapsed="false">
      <c r="A143" s="226" t="s">
        <v>9350</v>
      </c>
      <c r="B143" s="226" t="s">
        <v>6120</v>
      </c>
      <c r="C143" s="235" t="s">
        <v>9351</v>
      </c>
      <c r="D143" s="226" t="s">
        <v>9352</v>
      </c>
      <c r="E143" s="236" t="s">
        <v>9171</v>
      </c>
      <c r="F143" s="226" t="s">
        <v>9353</v>
      </c>
      <c r="G143" s="226" t="s">
        <v>9354</v>
      </c>
      <c r="H143" s="226" t="s">
        <v>9355</v>
      </c>
      <c r="I143" s="236" t="s">
        <v>9356</v>
      </c>
      <c r="J143" s="226" t="s">
        <v>9003</v>
      </c>
      <c r="K143" s="237" t="s">
        <v>9357</v>
      </c>
      <c r="L143" s="224" t="s">
        <v>8706</v>
      </c>
      <c r="M143" s="6" t="s">
        <v>4115</v>
      </c>
      <c r="N143" s="28" t="s">
        <v>620</v>
      </c>
      <c r="O143" s="28" t="s">
        <v>9358</v>
      </c>
      <c r="P143" s="28" t="s">
        <v>147</v>
      </c>
      <c r="Q143" s="224" t="s">
        <v>6717</v>
      </c>
    </row>
    <row r="144" customFormat="false" ht="26.25" hidden="false" customHeight="true" outlineLevel="0" collapsed="false">
      <c r="A144" s="226" t="s">
        <v>9359</v>
      </c>
      <c r="B144" s="226" t="s">
        <v>6120</v>
      </c>
      <c r="C144" s="235" t="s">
        <v>9360</v>
      </c>
      <c r="D144" s="226" t="s">
        <v>9361</v>
      </c>
      <c r="E144" s="236" t="s">
        <v>8998</v>
      </c>
      <c r="F144" s="226" t="s">
        <v>9362</v>
      </c>
      <c r="G144" s="226" t="s">
        <v>9363</v>
      </c>
      <c r="H144" s="236" t="s">
        <v>9364</v>
      </c>
      <c r="I144" s="236" t="s">
        <v>9365</v>
      </c>
      <c r="J144" s="226" t="s">
        <v>9003</v>
      </c>
      <c r="K144" s="237" t="s">
        <v>9366</v>
      </c>
      <c r="L144" s="224" t="s">
        <v>8706</v>
      </c>
      <c r="M144" s="6" t="s">
        <v>620</v>
      </c>
      <c r="N144" s="28" t="s">
        <v>620</v>
      </c>
      <c r="O144" s="28" t="s">
        <v>620</v>
      </c>
      <c r="P144" s="28" t="s">
        <v>620</v>
      </c>
      <c r="Q144" s="224" t="s">
        <v>6717</v>
      </c>
    </row>
    <row r="145" customFormat="false" ht="77.25" hidden="false" customHeight="true" outlineLevel="0" collapsed="false">
      <c r="A145" s="226" t="s">
        <v>9367</v>
      </c>
      <c r="B145" s="226" t="s">
        <v>6120</v>
      </c>
      <c r="C145" s="237" t="s">
        <v>9368</v>
      </c>
      <c r="D145" s="236" t="s">
        <v>9369</v>
      </c>
      <c r="E145" s="236" t="s">
        <v>9370</v>
      </c>
      <c r="F145" s="226" t="s">
        <v>9371</v>
      </c>
      <c r="G145" s="226" t="s">
        <v>9372</v>
      </c>
      <c r="H145" s="236" t="s">
        <v>9373</v>
      </c>
      <c r="I145" s="236" t="s">
        <v>9374</v>
      </c>
      <c r="J145" s="226" t="s">
        <v>9003</v>
      </c>
      <c r="K145" s="237" t="s">
        <v>9375</v>
      </c>
      <c r="L145" s="224" t="s">
        <v>8706</v>
      </c>
      <c r="M145" s="6" t="s">
        <v>620</v>
      </c>
      <c r="N145" s="28" t="s">
        <v>620</v>
      </c>
      <c r="O145" s="28" t="s">
        <v>620</v>
      </c>
      <c r="P145" s="28" t="s">
        <v>620</v>
      </c>
      <c r="Q145" s="28" t="s">
        <v>620</v>
      </c>
    </row>
    <row r="146" customFormat="false" ht="26.25" hidden="false" customHeight="true" outlineLevel="0" collapsed="false">
      <c r="A146" s="226" t="s">
        <v>9376</v>
      </c>
      <c r="B146" s="226" t="s">
        <v>6120</v>
      </c>
      <c r="C146" s="235" t="s">
        <v>9377</v>
      </c>
      <c r="D146" s="226" t="s">
        <v>9282</v>
      </c>
      <c r="E146" s="236" t="s">
        <v>8998</v>
      </c>
      <c r="F146" s="226" t="s">
        <v>9378</v>
      </c>
      <c r="G146" s="226" t="s">
        <v>9379</v>
      </c>
      <c r="H146" s="236" t="s">
        <v>9380</v>
      </c>
      <c r="I146" s="236" t="s">
        <v>9381</v>
      </c>
      <c r="J146" s="226" t="s">
        <v>9003</v>
      </c>
      <c r="K146" s="237" t="s">
        <v>9382</v>
      </c>
      <c r="L146" s="224" t="s">
        <v>8706</v>
      </c>
      <c r="M146" s="6" t="s">
        <v>620</v>
      </c>
      <c r="N146" s="28" t="s">
        <v>620</v>
      </c>
      <c r="O146" s="28" t="s">
        <v>620</v>
      </c>
      <c r="P146" s="28" t="s">
        <v>620</v>
      </c>
      <c r="Q146" s="28" t="s">
        <v>620</v>
      </c>
    </row>
    <row r="147" customFormat="false" ht="39" hidden="false" customHeight="true" outlineLevel="0" collapsed="false">
      <c r="A147" s="226" t="s">
        <v>9383</v>
      </c>
      <c r="B147" s="226" t="s">
        <v>6120</v>
      </c>
      <c r="C147" s="235" t="s">
        <v>9384</v>
      </c>
      <c r="D147" s="236" t="s">
        <v>9385</v>
      </c>
      <c r="E147" s="226" t="s">
        <v>620</v>
      </c>
      <c r="F147" s="226" t="s">
        <v>9386</v>
      </c>
      <c r="G147" s="226" t="s">
        <v>620</v>
      </c>
      <c r="H147" s="226" t="s">
        <v>620</v>
      </c>
      <c r="I147" s="236" t="s">
        <v>9387</v>
      </c>
      <c r="J147" s="226" t="s">
        <v>9003</v>
      </c>
      <c r="K147" s="237" t="s">
        <v>9388</v>
      </c>
      <c r="L147" s="224" t="s">
        <v>8706</v>
      </c>
      <c r="M147" s="6" t="s">
        <v>620</v>
      </c>
      <c r="N147" s="28" t="s">
        <v>620</v>
      </c>
      <c r="O147" s="28" t="s">
        <v>620</v>
      </c>
      <c r="P147" s="28" t="s">
        <v>620</v>
      </c>
      <c r="Q147" s="28" t="s">
        <v>620</v>
      </c>
    </row>
    <row r="148" customFormat="false" ht="64.5" hidden="false" customHeight="true" outlineLevel="0" collapsed="false">
      <c r="A148" s="226" t="s">
        <v>9389</v>
      </c>
      <c r="B148" s="226" t="s">
        <v>6120</v>
      </c>
      <c r="C148" s="235" t="s">
        <v>9390</v>
      </c>
      <c r="D148" s="226" t="s">
        <v>9075</v>
      </c>
      <c r="E148" s="236" t="s">
        <v>8998</v>
      </c>
      <c r="F148" s="226" t="s">
        <v>9391</v>
      </c>
      <c r="G148" s="226" t="s">
        <v>9392</v>
      </c>
      <c r="H148" s="226" t="s">
        <v>9393</v>
      </c>
      <c r="I148" s="236" t="s">
        <v>9394</v>
      </c>
      <c r="J148" s="226" t="s">
        <v>9003</v>
      </c>
      <c r="K148" s="237" t="s">
        <v>9395</v>
      </c>
      <c r="L148" s="224" t="s">
        <v>8706</v>
      </c>
      <c r="M148" s="6" t="s">
        <v>4163</v>
      </c>
      <c r="N148" s="28" t="s">
        <v>620</v>
      </c>
      <c r="O148" s="28" t="s">
        <v>620</v>
      </c>
      <c r="P148" s="28" t="s">
        <v>8885</v>
      </c>
      <c r="Q148" s="224" t="s">
        <v>6610</v>
      </c>
    </row>
    <row r="149" customFormat="false" ht="39" hidden="false" customHeight="true" outlineLevel="0" collapsed="false">
      <c r="A149" s="226" t="s">
        <v>9396</v>
      </c>
      <c r="B149" s="226" t="s">
        <v>6120</v>
      </c>
      <c r="C149" s="235" t="s">
        <v>9397</v>
      </c>
      <c r="D149" s="226" t="s">
        <v>9398</v>
      </c>
      <c r="E149" s="236" t="s">
        <v>8998</v>
      </c>
      <c r="F149" s="226" t="s">
        <v>9399</v>
      </c>
      <c r="G149" s="226" t="s">
        <v>9400</v>
      </c>
      <c r="H149" s="226" t="s">
        <v>9401</v>
      </c>
      <c r="I149" s="236" t="s">
        <v>9394</v>
      </c>
      <c r="J149" s="226" t="s">
        <v>9003</v>
      </c>
      <c r="K149" s="237" t="s">
        <v>9402</v>
      </c>
      <c r="L149" s="224" t="s">
        <v>8706</v>
      </c>
      <c r="M149" s="6" t="s">
        <v>4184</v>
      </c>
      <c r="N149" s="28" t="s">
        <v>620</v>
      </c>
      <c r="O149" s="28" t="s">
        <v>620</v>
      </c>
      <c r="P149" s="28" t="s">
        <v>8885</v>
      </c>
      <c r="Q149" s="224" t="s">
        <v>6610</v>
      </c>
    </row>
    <row r="150" customFormat="false" ht="77.25" hidden="false" customHeight="true" outlineLevel="0" collapsed="false">
      <c r="A150" s="226" t="s">
        <v>9403</v>
      </c>
      <c r="B150" s="226" t="s">
        <v>6120</v>
      </c>
      <c r="C150" s="235" t="s">
        <v>9404</v>
      </c>
      <c r="D150" s="226" t="s">
        <v>9068</v>
      </c>
      <c r="E150" s="236" t="s">
        <v>8998</v>
      </c>
      <c r="F150" s="226" t="s">
        <v>9405</v>
      </c>
      <c r="G150" s="226" t="s">
        <v>9406</v>
      </c>
      <c r="H150" s="226" t="s">
        <v>9407</v>
      </c>
      <c r="I150" s="236" t="s">
        <v>9394</v>
      </c>
      <c r="J150" s="226" t="s">
        <v>9003</v>
      </c>
      <c r="K150" s="237" t="s">
        <v>9408</v>
      </c>
      <c r="L150" s="224" t="s">
        <v>8706</v>
      </c>
      <c r="M150" s="6" t="s">
        <v>4239</v>
      </c>
      <c r="N150" s="28" t="s">
        <v>620</v>
      </c>
      <c r="O150" s="28" t="s">
        <v>620</v>
      </c>
      <c r="P150" s="28" t="s">
        <v>8885</v>
      </c>
      <c r="Q150" s="224" t="s">
        <v>6610</v>
      </c>
    </row>
    <row r="151" customFormat="false" ht="64.5" hidden="false" customHeight="true" outlineLevel="0" collapsed="false">
      <c r="A151" s="226" t="s">
        <v>9409</v>
      </c>
      <c r="B151" s="226" t="s">
        <v>6120</v>
      </c>
      <c r="C151" s="235" t="s">
        <v>9410</v>
      </c>
      <c r="D151" s="226" t="s">
        <v>9147</v>
      </c>
      <c r="E151" s="236" t="s">
        <v>8998</v>
      </c>
      <c r="F151" s="226" t="s">
        <v>9411</v>
      </c>
      <c r="G151" s="226" t="s">
        <v>9412</v>
      </c>
      <c r="H151" s="226" t="s">
        <v>9413</v>
      </c>
      <c r="I151" s="236" t="s">
        <v>9414</v>
      </c>
      <c r="J151" s="226" t="s">
        <v>9003</v>
      </c>
      <c r="K151" s="237" t="s">
        <v>9415</v>
      </c>
      <c r="L151" s="224" t="s">
        <v>8706</v>
      </c>
      <c r="M151" s="6" t="s">
        <v>4067</v>
      </c>
      <c r="N151" s="28" t="s">
        <v>620</v>
      </c>
      <c r="O151" s="224" t="s">
        <v>9416</v>
      </c>
      <c r="P151" s="28" t="s">
        <v>8885</v>
      </c>
      <c r="Q151" s="224" t="s">
        <v>6610</v>
      </c>
    </row>
    <row r="152" customFormat="false" ht="64.5" hidden="false" customHeight="true" outlineLevel="0" collapsed="false">
      <c r="A152" s="226" t="s">
        <v>5734</v>
      </c>
      <c r="B152" s="226" t="s">
        <v>6120</v>
      </c>
      <c r="C152" s="235" t="s">
        <v>9417</v>
      </c>
      <c r="D152" s="236" t="s">
        <v>9418</v>
      </c>
      <c r="E152" s="236" t="s">
        <v>9370</v>
      </c>
      <c r="F152" s="226" t="s">
        <v>9419</v>
      </c>
      <c r="G152" s="226" t="s">
        <v>9420</v>
      </c>
      <c r="H152" s="226" t="s">
        <v>9421</v>
      </c>
      <c r="I152" s="236" t="s">
        <v>9422</v>
      </c>
      <c r="J152" s="226" t="s">
        <v>9003</v>
      </c>
      <c r="K152" s="237" t="s">
        <v>9423</v>
      </c>
      <c r="L152" s="224" t="s">
        <v>8706</v>
      </c>
      <c r="M152" s="6" t="s">
        <v>620</v>
      </c>
      <c r="N152" s="28" t="s">
        <v>620</v>
      </c>
      <c r="O152" s="28" t="s">
        <v>9264</v>
      </c>
      <c r="P152" s="28" t="s">
        <v>100</v>
      </c>
      <c r="Q152" s="28" t="s">
        <v>620</v>
      </c>
    </row>
    <row r="153" customFormat="false" ht="126.75" hidden="false" customHeight="true" outlineLevel="0" collapsed="false">
      <c r="A153" s="226" t="s">
        <v>9424</v>
      </c>
      <c r="B153" s="226" t="s">
        <v>6141</v>
      </c>
      <c r="C153" s="235" t="s">
        <v>9425</v>
      </c>
      <c r="D153" s="236" t="s">
        <v>9426</v>
      </c>
      <c r="E153" s="236" t="s">
        <v>9370</v>
      </c>
      <c r="F153" s="226" t="s">
        <v>9427</v>
      </c>
      <c r="G153" s="226" t="s">
        <v>9428</v>
      </c>
      <c r="H153" s="236" t="s">
        <v>9429</v>
      </c>
      <c r="I153" s="236" t="s">
        <v>9430</v>
      </c>
      <c r="J153" s="226" t="s">
        <v>9003</v>
      </c>
      <c r="K153" s="237" t="s">
        <v>9431</v>
      </c>
      <c r="L153" s="224" t="s">
        <v>8706</v>
      </c>
      <c r="M153" s="6" t="s">
        <v>620</v>
      </c>
      <c r="N153" s="28" t="s">
        <v>620</v>
      </c>
      <c r="O153" s="28" t="s">
        <v>620</v>
      </c>
      <c r="P153" s="28" t="s">
        <v>100</v>
      </c>
      <c r="Q153" s="28" t="s">
        <v>620</v>
      </c>
    </row>
    <row r="154" customFormat="false" ht="101.25" hidden="false" customHeight="true" outlineLevel="0" collapsed="false">
      <c r="A154" s="226" t="s">
        <v>9432</v>
      </c>
      <c r="B154" s="226" t="s">
        <v>6141</v>
      </c>
      <c r="C154" s="235" t="s">
        <v>9433</v>
      </c>
      <c r="D154" s="226" t="s">
        <v>9434</v>
      </c>
      <c r="E154" s="236" t="s">
        <v>8998</v>
      </c>
      <c r="F154" s="226" t="s">
        <v>9435</v>
      </c>
      <c r="G154" s="226" t="s">
        <v>9436</v>
      </c>
      <c r="H154" s="226" t="s">
        <v>9437</v>
      </c>
      <c r="I154" s="236" t="s">
        <v>9438</v>
      </c>
      <c r="J154" s="226" t="s">
        <v>9003</v>
      </c>
      <c r="K154" s="237" t="s">
        <v>9439</v>
      </c>
      <c r="L154" s="224" t="s">
        <v>8706</v>
      </c>
      <c r="M154" s="6" t="s">
        <v>620</v>
      </c>
      <c r="N154" s="28" t="s">
        <v>620</v>
      </c>
      <c r="O154" s="28" t="s">
        <v>620</v>
      </c>
      <c r="P154" s="28" t="s">
        <v>104</v>
      </c>
      <c r="Q154" s="224" t="s">
        <v>6717</v>
      </c>
    </row>
    <row r="155" customFormat="false" ht="102.75" hidden="false" customHeight="true" outlineLevel="0" collapsed="false">
      <c r="A155" s="226" t="s">
        <v>9440</v>
      </c>
      <c r="B155" s="226" t="s">
        <v>6141</v>
      </c>
      <c r="C155" s="235" t="s">
        <v>9441</v>
      </c>
      <c r="D155" s="236" t="s">
        <v>9442</v>
      </c>
      <c r="E155" s="236" t="s">
        <v>9370</v>
      </c>
      <c r="F155" s="226" t="s">
        <v>9443</v>
      </c>
      <c r="G155" s="226" t="s">
        <v>9444</v>
      </c>
      <c r="H155" s="236" t="s">
        <v>9445</v>
      </c>
      <c r="I155" s="236" t="s">
        <v>9446</v>
      </c>
      <c r="J155" s="226" t="s">
        <v>9003</v>
      </c>
      <c r="K155" s="237" t="s">
        <v>9447</v>
      </c>
      <c r="L155" s="224" t="s">
        <v>8706</v>
      </c>
      <c r="M155" s="6" t="s">
        <v>620</v>
      </c>
      <c r="N155" s="28" t="s">
        <v>620</v>
      </c>
      <c r="O155" s="28" t="s">
        <v>620</v>
      </c>
      <c r="P155" s="28" t="s">
        <v>100</v>
      </c>
      <c r="Q155" s="224" t="s">
        <v>9448</v>
      </c>
    </row>
    <row r="156" customFormat="false" ht="90" hidden="false" customHeight="true" outlineLevel="0" collapsed="false">
      <c r="A156" s="226" t="s">
        <v>9449</v>
      </c>
      <c r="B156" s="226" t="s">
        <v>6141</v>
      </c>
      <c r="C156" s="235" t="s">
        <v>9450</v>
      </c>
      <c r="D156" s="226" t="s">
        <v>9451</v>
      </c>
      <c r="E156" s="236" t="s">
        <v>8998</v>
      </c>
      <c r="F156" s="226" t="s">
        <v>9452</v>
      </c>
      <c r="G156" s="226" t="s">
        <v>9453</v>
      </c>
      <c r="H156" s="236" t="s">
        <v>9454</v>
      </c>
      <c r="I156" s="236" t="s">
        <v>9455</v>
      </c>
      <c r="J156" s="226" t="s">
        <v>9003</v>
      </c>
      <c r="K156" s="237" t="s">
        <v>9456</v>
      </c>
      <c r="L156" s="224" t="s">
        <v>8706</v>
      </c>
      <c r="M156" s="6" t="s">
        <v>620</v>
      </c>
      <c r="N156" s="28" t="s">
        <v>620</v>
      </c>
      <c r="O156" s="28" t="s">
        <v>620</v>
      </c>
      <c r="P156" s="28" t="s">
        <v>104</v>
      </c>
      <c r="Q156" s="224" t="s">
        <v>6717</v>
      </c>
    </row>
    <row r="157" customFormat="false" ht="64.5" hidden="false" customHeight="true" outlineLevel="0" collapsed="false">
      <c r="A157" s="226" t="s">
        <v>9457</v>
      </c>
      <c r="B157" s="226" t="s">
        <v>6141</v>
      </c>
      <c r="C157" s="235" t="s">
        <v>9458</v>
      </c>
      <c r="D157" s="236" t="s">
        <v>9459</v>
      </c>
      <c r="E157" s="236" t="s">
        <v>9312</v>
      </c>
      <c r="F157" s="226" t="s">
        <v>9460</v>
      </c>
      <c r="G157" s="226" t="s">
        <v>9461</v>
      </c>
      <c r="H157" s="226" t="s">
        <v>9462</v>
      </c>
      <c r="I157" s="236" t="s">
        <v>9455</v>
      </c>
      <c r="J157" s="226" t="s">
        <v>9003</v>
      </c>
      <c r="K157" s="237" t="s">
        <v>9463</v>
      </c>
      <c r="L157" s="224" t="s">
        <v>8706</v>
      </c>
      <c r="M157" s="6" t="s">
        <v>620</v>
      </c>
      <c r="N157" s="28" t="s">
        <v>620</v>
      </c>
      <c r="O157" s="28" t="s">
        <v>620</v>
      </c>
      <c r="P157" s="28" t="s">
        <v>104</v>
      </c>
      <c r="Q157" s="224" t="s">
        <v>9464</v>
      </c>
    </row>
    <row r="158" customFormat="false" ht="125.25" hidden="false" customHeight="true" outlineLevel="0" collapsed="false">
      <c r="A158" s="226" t="s">
        <v>9465</v>
      </c>
      <c r="B158" s="226" t="s">
        <v>6141</v>
      </c>
      <c r="C158" s="235" t="s">
        <v>9466</v>
      </c>
      <c r="D158" s="226" t="s">
        <v>9467</v>
      </c>
      <c r="E158" s="236" t="s">
        <v>9370</v>
      </c>
      <c r="F158" s="226" t="s">
        <v>9468</v>
      </c>
      <c r="G158" s="226" t="s">
        <v>9469</v>
      </c>
      <c r="H158" s="236" t="s">
        <v>9470</v>
      </c>
      <c r="I158" s="236" t="s">
        <v>9471</v>
      </c>
      <c r="J158" s="226" t="s">
        <v>9003</v>
      </c>
      <c r="K158" s="237" t="s">
        <v>9472</v>
      </c>
      <c r="L158" s="224" t="s">
        <v>8706</v>
      </c>
      <c r="M158" s="6" t="s">
        <v>620</v>
      </c>
      <c r="N158" s="28" t="s">
        <v>620</v>
      </c>
      <c r="O158" s="28" t="s">
        <v>620</v>
      </c>
      <c r="P158" s="28" t="s">
        <v>100</v>
      </c>
      <c r="Q158" s="28" t="s">
        <v>620</v>
      </c>
    </row>
    <row r="159" customFormat="false" ht="141" hidden="false" customHeight="true" outlineLevel="0" collapsed="false">
      <c r="A159" s="226" t="s">
        <v>9473</v>
      </c>
      <c r="B159" s="226" t="s">
        <v>6141</v>
      </c>
      <c r="C159" s="235" t="s">
        <v>9474</v>
      </c>
      <c r="D159" s="226" t="s">
        <v>9475</v>
      </c>
      <c r="E159" s="236" t="s">
        <v>9476</v>
      </c>
      <c r="F159" s="226" t="s">
        <v>9477</v>
      </c>
      <c r="G159" s="226" t="s">
        <v>9478</v>
      </c>
      <c r="H159" s="226" t="s">
        <v>9479</v>
      </c>
      <c r="I159" s="236" t="s">
        <v>9480</v>
      </c>
      <c r="J159" s="226" t="s">
        <v>9003</v>
      </c>
      <c r="K159" s="237" t="s">
        <v>9481</v>
      </c>
      <c r="L159" s="224" t="s">
        <v>8706</v>
      </c>
      <c r="M159" s="6" t="s">
        <v>620</v>
      </c>
      <c r="N159" s="28" t="s">
        <v>620</v>
      </c>
      <c r="O159" s="224" t="s">
        <v>9482</v>
      </c>
      <c r="P159" s="28" t="s">
        <v>104</v>
      </c>
      <c r="Q159" s="224" t="s">
        <v>9483</v>
      </c>
    </row>
    <row r="160" customFormat="false" ht="51.75" hidden="false" customHeight="true" outlineLevel="0" collapsed="false">
      <c r="A160" s="226" t="s">
        <v>9484</v>
      </c>
      <c r="B160" s="226" t="s">
        <v>6141</v>
      </c>
      <c r="C160" s="235" t="s">
        <v>9485</v>
      </c>
      <c r="D160" s="226" t="s">
        <v>9486</v>
      </c>
      <c r="E160" s="236" t="s">
        <v>9487</v>
      </c>
      <c r="F160" s="226" t="s">
        <v>9488</v>
      </c>
      <c r="G160" s="226" t="s">
        <v>9489</v>
      </c>
      <c r="H160" s="226" t="s">
        <v>9490</v>
      </c>
      <c r="I160" s="236" t="s">
        <v>9491</v>
      </c>
      <c r="J160" s="226" t="s">
        <v>6177</v>
      </c>
      <c r="K160" s="237" t="s">
        <v>9492</v>
      </c>
      <c r="L160" s="224" t="s">
        <v>8706</v>
      </c>
      <c r="M160" s="6" t="s">
        <v>620</v>
      </c>
      <c r="N160" s="28" t="s">
        <v>620</v>
      </c>
      <c r="O160" s="28" t="s">
        <v>620</v>
      </c>
      <c r="P160" s="28" t="s">
        <v>104</v>
      </c>
      <c r="Q160" s="224" t="s">
        <v>6717</v>
      </c>
    </row>
    <row r="161" customFormat="false" ht="51.75" hidden="false" customHeight="true" outlineLevel="0" collapsed="false">
      <c r="A161" s="226" t="s">
        <v>9493</v>
      </c>
      <c r="B161" s="226" t="s">
        <v>6141</v>
      </c>
      <c r="C161" s="235" t="s">
        <v>9494</v>
      </c>
      <c r="D161" s="226" t="s">
        <v>9486</v>
      </c>
      <c r="E161" s="236" t="s">
        <v>9487</v>
      </c>
      <c r="F161" s="226" t="s">
        <v>9495</v>
      </c>
      <c r="G161" s="236" t="s">
        <v>9496</v>
      </c>
      <c r="H161" s="236" t="s">
        <v>9497</v>
      </c>
      <c r="I161" s="236" t="s">
        <v>9498</v>
      </c>
      <c r="J161" s="226" t="s">
        <v>6177</v>
      </c>
      <c r="K161" s="237" t="s">
        <v>9499</v>
      </c>
      <c r="L161" s="224" t="s">
        <v>8706</v>
      </c>
      <c r="M161" s="6" t="s">
        <v>620</v>
      </c>
      <c r="N161" s="28" t="s">
        <v>620</v>
      </c>
      <c r="O161" s="28" t="s">
        <v>620</v>
      </c>
      <c r="P161" s="28" t="s">
        <v>104</v>
      </c>
      <c r="Q161" s="224" t="s">
        <v>9500</v>
      </c>
    </row>
    <row r="162" customFormat="false" ht="39" hidden="false" customHeight="true" outlineLevel="0" collapsed="false">
      <c r="A162" s="226" t="s">
        <v>9501</v>
      </c>
      <c r="B162" s="226" t="s">
        <v>6141</v>
      </c>
      <c r="C162" s="237" t="s">
        <v>9502</v>
      </c>
      <c r="D162" s="226" t="s">
        <v>9486</v>
      </c>
      <c r="E162" s="236" t="s">
        <v>9487</v>
      </c>
      <c r="F162" s="226" t="s">
        <v>9503</v>
      </c>
      <c r="G162" s="236" t="s">
        <v>9504</v>
      </c>
      <c r="H162" s="236" t="s">
        <v>9505</v>
      </c>
      <c r="I162" s="236" t="s">
        <v>9506</v>
      </c>
      <c r="J162" s="226" t="s">
        <v>6177</v>
      </c>
      <c r="K162" s="237" t="s">
        <v>9507</v>
      </c>
      <c r="L162" s="224" t="s">
        <v>8706</v>
      </c>
      <c r="M162" s="6" t="s">
        <v>620</v>
      </c>
      <c r="N162" s="28" t="s">
        <v>620</v>
      </c>
      <c r="O162" s="28" t="s">
        <v>620</v>
      </c>
      <c r="P162" s="28" t="s">
        <v>104</v>
      </c>
      <c r="Q162" s="224" t="s">
        <v>6717</v>
      </c>
    </row>
    <row r="163" customFormat="false" ht="51.75" hidden="false" customHeight="true" outlineLevel="0" collapsed="false">
      <c r="A163" s="226" t="s">
        <v>9508</v>
      </c>
      <c r="B163" s="226" t="s">
        <v>6141</v>
      </c>
      <c r="C163" s="235" t="s">
        <v>9509</v>
      </c>
      <c r="D163" s="226" t="s">
        <v>9486</v>
      </c>
      <c r="E163" s="236" t="s">
        <v>9487</v>
      </c>
      <c r="F163" s="226" t="s">
        <v>9510</v>
      </c>
      <c r="G163" s="236" t="s">
        <v>9511</v>
      </c>
      <c r="H163" s="236" t="s">
        <v>9512</v>
      </c>
      <c r="I163" s="236" t="s">
        <v>9513</v>
      </c>
      <c r="J163" s="226" t="s">
        <v>6177</v>
      </c>
      <c r="K163" s="237" t="s">
        <v>9514</v>
      </c>
      <c r="L163" s="224" t="s">
        <v>8706</v>
      </c>
      <c r="M163" s="6" t="s">
        <v>620</v>
      </c>
      <c r="N163" s="28" t="s">
        <v>620</v>
      </c>
      <c r="O163" s="28" t="s">
        <v>620</v>
      </c>
      <c r="P163" s="28" t="s">
        <v>104</v>
      </c>
      <c r="Q163" s="224" t="s">
        <v>6717</v>
      </c>
    </row>
    <row r="164" customFormat="false" ht="51.75" hidden="false" customHeight="true" outlineLevel="0" collapsed="false">
      <c r="A164" s="226" t="s">
        <v>9515</v>
      </c>
      <c r="B164" s="226" t="s">
        <v>6141</v>
      </c>
      <c r="C164" s="235" t="s">
        <v>9516</v>
      </c>
      <c r="D164" s="226" t="s">
        <v>9486</v>
      </c>
      <c r="E164" s="236" t="s">
        <v>9487</v>
      </c>
      <c r="F164" s="226" t="s">
        <v>9517</v>
      </c>
      <c r="G164" s="236" t="s">
        <v>9518</v>
      </c>
      <c r="H164" s="236" t="s">
        <v>9519</v>
      </c>
      <c r="I164" s="236" t="s">
        <v>9520</v>
      </c>
      <c r="J164" s="226" t="s">
        <v>6177</v>
      </c>
      <c r="K164" s="237" t="s">
        <v>9521</v>
      </c>
      <c r="L164" s="224" t="s">
        <v>8706</v>
      </c>
      <c r="M164" s="6" t="s">
        <v>620</v>
      </c>
      <c r="N164" s="28" t="s">
        <v>620</v>
      </c>
      <c r="O164" s="28" t="s">
        <v>620</v>
      </c>
      <c r="P164" s="28" t="s">
        <v>104</v>
      </c>
      <c r="Q164" s="224" t="s">
        <v>6717</v>
      </c>
    </row>
    <row r="165" customFormat="false" ht="51.75" hidden="false" customHeight="true" outlineLevel="0" collapsed="false">
      <c r="A165" s="226" t="s">
        <v>9522</v>
      </c>
      <c r="B165" s="226" t="s">
        <v>6141</v>
      </c>
      <c r="C165" s="235" t="s">
        <v>9523</v>
      </c>
      <c r="D165" s="226" t="s">
        <v>9486</v>
      </c>
      <c r="E165" s="236" t="s">
        <v>9487</v>
      </c>
      <c r="F165" s="226" t="s">
        <v>9524</v>
      </c>
      <c r="G165" s="236" t="s">
        <v>9525</v>
      </c>
      <c r="H165" s="236" t="s">
        <v>9526</v>
      </c>
      <c r="I165" s="236" t="s">
        <v>9527</v>
      </c>
      <c r="J165" s="226" t="s">
        <v>6177</v>
      </c>
      <c r="K165" s="237" t="s">
        <v>9528</v>
      </c>
      <c r="L165" s="224" t="s">
        <v>8706</v>
      </c>
      <c r="M165" s="6" t="s">
        <v>620</v>
      </c>
      <c r="N165" s="28" t="s">
        <v>620</v>
      </c>
      <c r="O165" s="28" t="s">
        <v>9529</v>
      </c>
      <c r="P165" s="28" t="s">
        <v>104</v>
      </c>
      <c r="Q165" s="224" t="s">
        <v>6717</v>
      </c>
    </row>
    <row r="166" customFormat="false" ht="51.75" hidden="false" customHeight="true" outlineLevel="0" collapsed="false">
      <c r="A166" s="226" t="s">
        <v>9530</v>
      </c>
      <c r="B166" s="226" t="s">
        <v>6141</v>
      </c>
      <c r="C166" s="237" t="s">
        <v>9531</v>
      </c>
      <c r="D166" s="226" t="s">
        <v>9486</v>
      </c>
      <c r="E166" s="236" t="s">
        <v>9487</v>
      </c>
      <c r="F166" s="226" t="s">
        <v>9532</v>
      </c>
      <c r="G166" s="236" t="s">
        <v>9533</v>
      </c>
      <c r="H166" s="236" t="s">
        <v>9534</v>
      </c>
      <c r="I166" s="236" t="s">
        <v>9535</v>
      </c>
      <c r="J166" s="226" t="s">
        <v>6177</v>
      </c>
      <c r="K166" s="237" t="s">
        <v>9536</v>
      </c>
      <c r="L166" s="224" t="s">
        <v>8706</v>
      </c>
      <c r="M166" s="6" t="s">
        <v>620</v>
      </c>
      <c r="N166" s="28" t="s">
        <v>620</v>
      </c>
      <c r="O166" s="28" t="s">
        <v>620</v>
      </c>
      <c r="P166" s="28" t="s">
        <v>104</v>
      </c>
      <c r="Q166" s="224" t="s">
        <v>6717</v>
      </c>
    </row>
    <row r="167" customFormat="false" ht="51.75" hidden="false" customHeight="true" outlineLevel="0" collapsed="false">
      <c r="A167" s="226" t="s">
        <v>9537</v>
      </c>
      <c r="B167" s="226" t="s">
        <v>6141</v>
      </c>
      <c r="C167" s="237" t="s">
        <v>9538</v>
      </c>
      <c r="D167" s="226" t="s">
        <v>9486</v>
      </c>
      <c r="E167" s="236" t="s">
        <v>9487</v>
      </c>
      <c r="F167" s="226" t="s">
        <v>9539</v>
      </c>
      <c r="G167" s="226" t="s">
        <v>9540</v>
      </c>
      <c r="H167" s="236" t="s">
        <v>9541</v>
      </c>
      <c r="I167" s="236" t="s">
        <v>9542</v>
      </c>
      <c r="J167" s="226" t="s">
        <v>6177</v>
      </c>
      <c r="K167" s="237" t="s">
        <v>9543</v>
      </c>
      <c r="L167" s="224" t="s">
        <v>8706</v>
      </c>
      <c r="M167" s="6" t="s">
        <v>620</v>
      </c>
      <c r="N167" s="28" t="s">
        <v>620</v>
      </c>
      <c r="O167" s="28" t="s">
        <v>620</v>
      </c>
      <c r="P167" s="28" t="s">
        <v>104</v>
      </c>
      <c r="Q167" s="224" t="s">
        <v>6717</v>
      </c>
    </row>
    <row r="168" customFormat="false" ht="77.25" hidden="false" customHeight="true" outlineLevel="0" collapsed="false">
      <c r="A168" s="226" t="s">
        <v>9544</v>
      </c>
      <c r="B168" s="226" t="s">
        <v>6141</v>
      </c>
      <c r="C168" s="235" t="s">
        <v>9545</v>
      </c>
      <c r="D168" s="226" t="s">
        <v>9486</v>
      </c>
      <c r="E168" s="236" t="s">
        <v>9487</v>
      </c>
      <c r="F168" s="226" t="s">
        <v>9546</v>
      </c>
      <c r="G168" s="226" t="s">
        <v>9547</v>
      </c>
      <c r="H168" s="226" t="s">
        <v>9548</v>
      </c>
      <c r="I168" s="236" t="s">
        <v>9549</v>
      </c>
      <c r="J168" s="226" t="s">
        <v>6177</v>
      </c>
      <c r="K168" s="237" t="s">
        <v>9550</v>
      </c>
      <c r="L168" s="224" t="s">
        <v>8706</v>
      </c>
      <c r="M168" s="6" t="s">
        <v>620</v>
      </c>
      <c r="N168" s="28" t="s">
        <v>7618</v>
      </c>
      <c r="O168" s="28" t="s">
        <v>9551</v>
      </c>
      <c r="P168" s="28" t="s">
        <v>104</v>
      </c>
      <c r="Q168" s="224" t="s">
        <v>9552</v>
      </c>
    </row>
    <row r="169" customFormat="false" ht="115.5" hidden="false" customHeight="true" outlineLevel="0" collapsed="false">
      <c r="A169" s="226" t="s">
        <v>7618</v>
      </c>
      <c r="B169" s="226" t="s">
        <v>6141</v>
      </c>
      <c r="C169" s="235" t="s">
        <v>9553</v>
      </c>
      <c r="D169" s="226" t="s">
        <v>9554</v>
      </c>
      <c r="E169" s="236" t="s">
        <v>8998</v>
      </c>
      <c r="F169" s="226" t="s">
        <v>9546</v>
      </c>
      <c r="G169" s="226" t="s">
        <v>9555</v>
      </c>
      <c r="H169" s="226" t="s">
        <v>9556</v>
      </c>
      <c r="I169" s="226" t="s">
        <v>9557</v>
      </c>
      <c r="J169" s="226" t="s">
        <v>6198</v>
      </c>
      <c r="K169" s="237" t="s">
        <v>9558</v>
      </c>
      <c r="L169" s="224" t="s">
        <v>8706</v>
      </c>
      <c r="M169" s="6" t="s">
        <v>9559</v>
      </c>
      <c r="N169" s="28" t="s">
        <v>620</v>
      </c>
      <c r="O169" s="28" t="s">
        <v>9560</v>
      </c>
      <c r="P169" s="28" t="s">
        <v>8885</v>
      </c>
      <c r="Q169" s="224" t="s">
        <v>6610</v>
      </c>
    </row>
    <row r="170" customFormat="false" ht="115.5" hidden="false" customHeight="true" outlineLevel="0" collapsed="false">
      <c r="A170" s="226" t="s">
        <v>9561</v>
      </c>
      <c r="B170" s="226" t="s">
        <v>6141</v>
      </c>
      <c r="C170" s="237" t="s">
        <v>9562</v>
      </c>
      <c r="D170" s="236" t="s">
        <v>9563</v>
      </c>
      <c r="E170" s="236" t="s">
        <v>9487</v>
      </c>
      <c r="F170" s="226" t="s">
        <v>9564</v>
      </c>
      <c r="G170" s="226" t="s">
        <v>9565</v>
      </c>
      <c r="H170" s="236" t="s">
        <v>9566</v>
      </c>
      <c r="I170" s="226" t="s">
        <v>9567</v>
      </c>
      <c r="J170" s="226" t="s">
        <v>6205</v>
      </c>
      <c r="K170" s="237" t="s">
        <v>9568</v>
      </c>
      <c r="L170" s="224" t="s">
        <v>8706</v>
      </c>
      <c r="M170" s="6" t="s">
        <v>620</v>
      </c>
      <c r="N170" s="28" t="s">
        <v>620</v>
      </c>
      <c r="O170" s="28" t="s">
        <v>9569</v>
      </c>
      <c r="P170" s="28" t="s">
        <v>104</v>
      </c>
      <c r="Q170" s="224" t="s">
        <v>9570</v>
      </c>
    </row>
    <row r="171" customFormat="false" ht="153.75" hidden="false" customHeight="true" outlineLevel="0" collapsed="false">
      <c r="A171" s="226" t="s">
        <v>8059</v>
      </c>
      <c r="B171" s="226" t="s">
        <v>6227</v>
      </c>
      <c r="C171" s="235" t="s">
        <v>9571</v>
      </c>
      <c r="D171" s="226" t="s">
        <v>9572</v>
      </c>
      <c r="E171" s="238" t="s">
        <v>8998</v>
      </c>
      <c r="F171" s="226" t="s">
        <v>9573</v>
      </c>
      <c r="G171" s="226" t="s">
        <v>9574</v>
      </c>
      <c r="H171" s="238" t="s">
        <v>9575</v>
      </c>
      <c r="I171" s="238" t="s">
        <v>9576</v>
      </c>
      <c r="J171" s="226" t="s">
        <v>6233</v>
      </c>
      <c r="K171" s="239" t="s">
        <v>9577</v>
      </c>
      <c r="L171" s="198" t="s">
        <v>8706</v>
      </c>
      <c r="M171" s="6" t="s">
        <v>9578</v>
      </c>
      <c r="N171" s="28" t="s">
        <v>620</v>
      </c>
      <c r="O171" s="28" t="s">
        <v>9579</v>
      </c>
      <c r="P171" s="28" t="s">
        <v>8885</v>
      </c>
      <c r="Q171" s="198" t="s">
        <v>6610</v>
      </c>
    </row>
    <row r="172" customFormat="false" ht="264" hidden="false" customHeight="true" outlineLevel="0" collapsed="false">
      <c r="A172" s="226" t="s">
        <v>7327</v>
      </c>
      <c r="B172" s="226" t="s">
        <v>6227</v>
      </c>
      <c r="C172" s="235" t="s">
        <v>9580</v>
      </c>
      <c r="D172" s="226" t="s">
        <v>9581</v>
      </c>
      <c r="E172" s="238" t="s">
        <v>8998</v>
      </c>
      <c r="F172" s="226" t="s">
        <v>9582</v>
      </c>
      <c r="G172" s="226" t="s">
        <v>9583</v>
      </c>
      <c r="H172" s="226" t="s">
        <v>9584</v>
      </c>
      <c r="I172" s="238" t="s">
        <v>9585</v>
      </c>
      <c r="J172" s="226" t="s">
        <v>6233</v>
      </c>
      <c r="K172" s="239" t="s">
        <v>9586</v>
      </c>
      <c r="L172" s="198" t="s">
        <v>8706</v>
      </c>
      <c r="M172" s="6" t="s">
        <v>2941</v>
      </c>
      <c r="N172" s="28" t="s">
        <v>620</v>
      </c>
      <c r="O172" s="28" t="s">
        <v>9587</v>
      </c>
      <c r="P172" s="28" t="s">
        <v>8885</v>
      </c>
      <c r="Q172" s="198" t="s">
        <v>6717</v>
      </c>
    </row>
    <row r="173" customFormat="false" ht="80.25" hidden="false" customHeight="true" outlineLevel="0" collapsed="false">
      <c r="A173" s="226" t="s">
        <v>9588</v>
      </c>
      <c r="B173" s="226" t="s">
        <v>6227</v>
      </c>
      <c r="C173" s="235" t="s">
        <v>9589</v>
      </c>
      <c r="D173" s="226" t="s">
        <v>9590</v>
      </c>
      <c r="E173" s="238" t="s">
        <v>8998</v>
      </c>
      <c r="F173" s="226" t="s">
        <v>9591</v>
      </c>
      <c r="G173" s="226" t="s">
        <v>9592</v>
      </c>
      <c r="H173" s="226" t="s">
        <v>9593</v>
      </c>
      <c r="I173" s="238" t="s">
        <v>9594</v>
      </c>
      <c r="J173" s="226" t="s">
        <v>6233</v>
      </c>
      <c r="K173" s="239" t="s">
        <v>9595</v>
      </c>
      <c r="L173" s="198" t="s">
        <v>8706</v>
      </c>
      <c r="M173" s="6" t="s">
        <v>5360</v>
      </c>
      <c r="N173" s="28" t="s">
        <v>620</v>
      </c>
      <c r="O173" s="198" t="s">
        <v>9596</v>
      </c>
      <c r="P173" s="28" t="s">
        <v>8885</v>
      </c>
      <c r="Q173" s="198" t="s">
        <v>6717</v>
      </c>
    </row>
    <row r="174" customFormat="false" ht="29.25" hidden="false" customHeight="true" outlineLevel="0" collapsed="false">
      <c r="A174" s="226" t="s">
        <v>9597</v>
      </c>
      <c r="B174" s="226" t="s">
        <v>6227</v>
      </c>
      <c r="C174" s="239" t="s">
        <v>9598</v>
      </c>
      <c r="D174" s="226" t="s">
        <v>9599</v>
      </c>
      <c r="E174" s="238" t="s">
        <v>9487</v>
      </c>
      <c r="F174" s="226" t="s">
        <v>9600</v>
      </c>
      <c r="G174" s="226" t="s">
        <v>9601</v>
      </c>
      <c r="H174" s="238" t="s">
        <v>9602</v>
      </c>
      <c r="I174" s="238" t="s">
        <v>9603</v>
      </c>
      <c r="J174" s="226" t="s">
        <v>6233</v>
      </c>
      <c r="K174" s="239" t="s">
        <v>9604</v>
      </c>
      <c r="L174" s="198" t="s">
        <v>8706</v>
      </c>
      <c r="M174" s="6" t="s">
        <v>620</v>
      </c>
      <c r="N174" s="28" t="s">
        <v>620</v>
      </c>
      <c r="O174" s="198" t="s">
        <v>3885</v>
      </c>
      <c r="P174" s="28" t="s">
        <v>8836</v>
      </c>
      <c r="Q174" s="198" t="s">
        <v>9605</v>
      </c>
    </row>
    <row r="175" customFormat="false" ht="100.5" hidden="false" customHeight="true" outlineLevel="0" collapsed="false">
      <c r="A175" s="226" t="s">
        <v>9606</v>
      </c>
      <c r="B175" s="226" t="s">
        <v>3379</v>
      </c>
      <c r="C175" s="235" t="s">
        <v>9607</v>
      </c>
      <c r="D175" s="226" t="s">
        <v>9581</v>
      </c>
      <c r="E175" s="238" t="s">
        <v>8998</v>
      </c>
      <c r="F175" s="226" t="s">
        <v>9608</v>
      </c>
      <c r="G175" s="226" t="s">
        <v>9609</v>
      </c>
      <c r="H175" s="238" t="s">
        <v>9610</v>
      </c>
      <c r="I175" s="238" t="s">
        <v>9611</v>
      </c>
      <c r="J175" s="226" t="s">
        <v>6246</v>
      </c>
      <c r="K175" s="239" t="s">
        <v>9612</v>
      </c>
      <c r="L175" s="198" t="s">
        <v>8706</v>
      </c>
      <c r="M175" s="6" t="s">
        <v>2941</v>
      </c>
      <c r="N175" s="28" t="s">
        <v>620</v>
      </c>
      <c r="O175" s="28" t="s">
        <v>9587</v>
      </c>
      <c r="P175" s="28" t="s">
        <v>8885</v>
      </c>
      <c r="Q175" s="198" t="s">
        <v>6717</v>
      </c>
    </row>
    <row r="176" customFormat="false" ht="137.25" hidden="false" customHeight="true" outlineLevel="0" collapsed="false">
      <c r="A176" s="226" t="s">
        <v>9613</v>
      </c>
      <c r="B176" s="226" t="s">
        <v>3379</v>
      </c>
      <c r="C176" s="235" t="s">
        <v>9614</v>
      </c>
      <c r="D176" s="226" t="s">
        <v>9615</v>
      </c>
      <c r="E176" s="238" t="s">
        <v>8998</v>
      </c>
      <c r="F176" s="226" t="s">
        <v>9616</v>
      </c>
      <c r="G176" s="226" t="s">
        <v>9617</v>
      </c>
      <c r="H176" s="238" t="s">
        <v>9618</v>
      </c>
      <c r="I176" s="238" t="s">
        <v>9619</v>
      </c>
      <c r="J176" s="226" t="s">
        <v>6246</v>
      </c>
      <c r="K176" s="239" t="s">
        <v>9620</v>
      </c>
      <c r="L176" s="198" t="s">
        <v>8706</v>
      </c>
      <c r="M176" s="6" t="s">
        <v>5360</v>
      </c>
      <c r="N176" s="28" t="s">
        <v>620</v>
      </c>
      <c r="O176" s="198" t="s">
        <v>9596</v>
      </c>
      <c r="P176" s="28" t="s">
        <v>8885</v>
      </c>
      <c r="Q176" s="198" t="s">
        <v>6717</v>
      </c>
    </row>
    <row r="177" customFormat="false" ht="242.25" hidden="false" customHeight="true" outlineLevel="0" collapsed="false">
      <c r="A177" s="226" t="s">
        <v>7337</v>
      </c>
      <c r="B177" s="226" t="s">
        <v>3379</v>
      </c>
      <c r="C177" s="235" t="s">
        <v>9621</v>
      </c>
      <c r="D177" s="226" t="s">
        <v>9622</v>
      </c>
      <c r="E177" s="238" t="s">
        <v>8998</v>
      </c>
      <c r="F177" s="226" t="s">
        <v>9623</v>
      </c>
      <c r="G177" s="226" t="s">
        <v>9624</v>
      </c>
      <c r="H177" s="226" t="s">
        <v>9625</v>
      </c>
      <c r="I177" s="238" t="s">
        <v>9626</v>
      </c>
      <c r="J177" s="226" t="s">
        <v>6246</v>
      </c>
      <c r="K177" s="239" t="s">
        <v>9627</v>
      </c>
      <c r="L177" s="198" t="s">
        <v>8706</v>
      </c>
      <c r="M177" s="6" t="s">
        <v>9628</v>
      </c>
      <c r="N177" s="28" t="s">
        <v>620</v>
      </c>
      <c r="O177" s="198" t="s">
        <v>9629</v>
      </c>
      <c r="P177" s="28" t="s">
        <v>8885</v>
      </c>
      <c r="Q177" s="198" t="s">
        <v>6610</v>
      </c>
    </row>
    <row r="178" customFormat="false" ht="156.75" hidden="false" customHeight="true" outlineLevel="0" collapsed="false">
      <c r="A178" s="226" t="s">
        <v>9630</v>
      </c>
      <c r="B178" s="226" t="s">
        <v>3379</v>
      </c>
      <c r="C178" s="239" t="s">
        <v>9631</v>
      </c>
      <c r="D178" s="226" t="s">
        <v>9632</v>
      </c>
      <c r="E178" s="226" t="s">
        <v>9633</v>
      </c>
      <c r="F178" s="226" t="s">
        <v>9634</v>
      </c>
      <c r="G178" s="226" t="s">
        <v>9635</v>
      </c>
      <c r="H178" s="238" t="s">
        <v>9636</v>
      </c>
      <c r="I178" s="238" t="s">
        <v>9637</v>
      </c>
      <c r="J178" s="226" t="s">
        <v>6246</v>
      </c>
      <c r="K178" s="239" t="s">
        <v>9638</v>
      </c>
      <c r="L178" s="198" t="s">
        <v>8706</v>
      </c>
      <c r="M178" s="6" t="s">
        <v>9639</v>
      </c>
      <c r="N178" s="28" t="s">
        <v>620</v>
      </c>
      <c r="O178" s="28" t="s">
        <v>9640</v>
      </c>
      <c r="P178" s="28" t="s">
        <v>620</v>
      </c>
      <c r="Q178" s="28" t="s">
        <v>620</v>
      </c>
    </row>
    <row r="179" customFormat="false" ht="57.75" hidden="false" customHeight="true" outlineLevel="0" collapsed="false">
      <c r="A179" s="226" t="s">
        <v>9641</v>
      </c>
      <c r="B179" s="226" t="s">
        <v>3379</v>
      </c>
      <c r="C179" s="235" t="s">
        <v>9642</v>
      </c>
      <c r="D179" s="226" t="s">
        <v>9643</v>
      </c>
      <c r="E179" s="238" t="s">
        <v>9487</v>
      </c>
      <c r="F179" s="226" t="s">
        <v>9644</v>
      </c>
      <c r="G179" s="226" t="s">
        <v>9645</v>
      </c>
      <c r="H179" s="238" t="s">
        <v>9646</v>
      </c>
      <c r="I179" s="238" t="s">
        <v>9647</v>
      </c>
      <c r="J179" s="226" t="s">
        <v>6246</v>
      </c>
      <c r="K179" s="239" t="s">
        <v>9648</v>
      </c>
      <c r="L179" s="198" t="s">
        <v>8706</v>
      </c>
      <c r="M179" s="6" t="s">
        <v>620</v>
      </c>
      <c r="N179" s="28" t="s">
        <v>620</v>
      </c>
      <c r="O179" s="198" t="s">
        <v>3885</v>
      </c>
      <c r="P179" s="28" t="s">
        <v>8836</v>
      </c>
      <c r="Q179" s="198" t="s">
        <v>9649</v>
      </c>
    </row>
    <row r="180" customFormat="false" ht="86.25" hidden="false" customHeight="true" outlineLevel="0" collapsed="false">
      <c r="A180" s="226" t="s">
        <v>9650</v>
      </c>
      <c r="B180" s="226" t="s">
        <v>3379</v>
      </c>
      <c r="C180" s="235" t="s">
        <v>9651</v>
      </c>
      <c r="D180" s="226" t="s">
        <v>9652</v>
      </c>
      <c r="E180" s="226" t="s">
        <v>9653</v>
      </c>
      <c r="F180" s="226" t="s">
        <v>9654</v>
      </c>
      <c r="G180" s="226" t="s">
        <v>9655</v>
      </c>
      <c r="H180" s="226" t="s">
        <v>9656</v>
      </c>
      <c r="I180" s="238" t="s">
        <v>9657</v>
      </c>
      <c r="J180" s="226" t="s">
        <v>6253</v>
      </c>
      <c r="K180" s="239" t="s">
        <v>9658</v>
      </c>
      <c r="L180" s="198" t="s">
        <v>8706</v>
      </c>
      <c r="M180" s="6" t="s">
        <v>3034</v>
      </c>
      <c r="N180" s="28" t="s">
        <v>620</v>
      </c>
      <c r="O180" s="198" t="s">
        <v>9659</v>
      </c>
      <c r="P180" s="28" t="s">
        <v>8860</v>
      </c>
      <c r="Q180" s="198" t="s">
        <v>6610</v>
      </c>
    </row>
    <row r="181" customFormat="false" ht="57.75" hidden="false" customHeight="true" outlineLevel="0" collapsed="false">
      <c r="A181" s="226" t="s">
        <v>9660</v>
      </c>
      <c r="B181" s="226" t="s">
        <v>3379</v>
      </c>
      <c r="C181" s="235" t="s">
        <v>9661</v>
      </c>
      <c r="D181" s="226" t="s">
        <v>9662</v>
      </c>
      <c r="E181" s="226" t="s">
        <v>9663</v>
      </c>
      <c r="F181" s="226" t="s">
        <v>9664</v>
      </c>
      <c r="G181" s="226" t="s">
        <v>9665</v>
      </c>
      <c r="H181" s="226" t="s">
        <v>9666</v>
      </c>
      <c r="I181" s="238" t="s">
        <v>9657</v>
      </c>
      <c r="J181" s="226" t="s">
        <v>6253</v>
      </c>
      <c r="K181" s="235" t="s">
        <v>9667</v>
      </c>
      <c r="L181" s="198" t="s">
        <v>8706</v>
      </c>
      <c r="M181" s="6" t="s">
        <v>5484</v>
      </c>
      <c r="N181" s="28" t="s">
        <v>620</v>
      </c>
      <c r="O181" s="198" t="s">
        <v>9659</v>
      </c>
      <c r="P181" s="28" t="s">
        <v>8885</v>
      </c>
      <c r="Q181" s="198" t="s">
        <v>6610</v>
      </c>
    </row>
    <row r="182" customFormat="false" ht="72" hidden="false" customHeight="true" outlineLevel="0" collapsed="false">
      <c r="A182" s="226" t="s">
        <v>9668</v>
      </c>
      <c r="B182" s="226" t="s">
        <v>3379</v>
      </c>
      <c r="C182" s="239" t="s">
        <v>9669</v>
      </c>
      <c r="D182" s="226" t="s">
        <v>9670</v>
      </c>
      <c r="E182" s="226" t="s">
        <v>9671</v>
      </c>
      <c r="F182" s="226" t="s">
        <v>9672</v>
      </c>
      <c r="G182" s="226" t="s">
        <v>620</v>
      </c>
      <c r="H182" s="226" t="s">
        <v>620</v>
      </c>
      <c r="I182" s="238" t="s">
        <v>9657</v>
      </c>
      <c r="J182" s="226" t="s">
        <v>6253</v>
      </c>
      <c r="K182" s="239" t="s">
        <v>9673</v>
      </c>
      <c r="L182" s="198" t="s">
        <v>8706</v>
      </c>
      <c r="M182" s="6" t="s">
        <v>3034</v>
      </c>
      <c r="N182" s="28" t="s">
        <v>620</v>
      </c>
      <c r="O182" s="198" t="s">
        <v>9659</v>
      </c>
      <c r="P182" s="28" t="s">
        <v>8860</v>
      </c>
      <c r="Q182" s="198" t="s">
        <v>9674</v>
      </c>
    </row>
    <row r="183" customFormat="false" ht="171" hidden="false" customHeight="true" outlineLevel="0" collapsed="false">
      <c r="A183" s="226" t="s">
        <v>8080</v>
      </c>
      <c r="B183" s="226" t="s">
        <v>3379</v>
      </c>
      <c r="C183" s="235" t="s">
        <v>9675</v>
      </c>
      <c r="D183" s="226" t="s">
        <v>9676</v>
      </c>
      <c r="E183" s="226" t="s">
        <v>9677</v>
      </c>
      <c r="F183" s="226" t="s">
        <v>9678</v>
      </c>
      <c r="G183" s="226" t="s">
        <v>9679</v>
      </c>
      <c r="H183" s="226" t="s">
        <v>9680</v>
      </c>
      <c r="I183" s="238" t="s">
        <v>9681</v>
      </c>
      <c r="J183" s="226" t="s">
        <v>6253</v>
      </c>
      <c r="K183" s="239" t="s">
        <v>9682</v>
      </c>
      <c r="L183" s="198" t="s">
        <v>8706</v>
      </c>
      <c r="M183" s="6" t="s">
        <v>9683</v>
      </c>
      <c r="N183" s="28" t="s">
        <v>8074</v>
      </c>
      <c r="O183" s="28" t="s">
        <v>9684</v>
      </c>
      <c r="P183" s="28" t="s">
        <v>8860</v>
      </c>
      <c r="Q183" s="198" t="s">
        <v>6610</v>
      </c>
    </row>
    <row r="184" customFormat="false" ht="57.75" hidden="false" customHeight="true" outlineLevel="0" collapsed="false">
      <c r="A184" s="226" t="s">
        <v>9685</v>
      </c>
      <c r="B184" s="226" t="s">
        <v>3379</v>
      </c>
      <c r="C184" s="235" t="s">
        <v>9686</v>
      </c>
      <c r="D184" s="226" t="s">
        <v>9687</v>
      </c>
      <c r="E184" s="226" t="s">
        <v>620</v>
      </c>
      <c r="F184" s="226" t="s">
        <v>9688</v>
      </c>
      <c r="G184" s="226" t="s">
        <v>9689</v>
      </c>
      <c r="H184" s="238" t="s">
        <v>9364</v>
      </c>
      <c r="I184" s="238" t="s">
        <v>9690</v>
      </c>
      <c r="J184" s="226" t="s">
        <v>6253</v>
      </c>
      <c r="K184" s="239" t="s">
        <v>9691</v>
      </c>
      <c r="L184" s="198" t="s">
        <v>8706</v>
      </c>
      <c r="M184" s="6" t="s">
        <v>9692</v>
      </c>
      <c r="N184" s="28" t="s">
        <v>620</v>
      </c>
      <c r="O184" s="198" t="s">
        <v>3885</v>
      </c>
      <c r="P184" s="28" t="s">
        <v>620</v>
      </c>
      <c r="Q184" s="28" t="s">
        <v>620</v>
      </c>
    </row>
    <row r="185" customFormat="false" ht="129" hidden="false" customHeight="true" outlineLevel="0" collapsed="false">
      <c r="A185" s="226" t="s">
        <v>9693</v>
      </c>
      <c r="B185" s="226" t="s">
        <v>3379</v>
      </c>
      <c r="C185" s="239" t="s">
        <v>9694</v>
      </c>
      <c r="D185" s="226" t="s">
        <v>9695</v>
      </c>
      <c r="E185" s="226" t="s">
        <v>9696</v>
      </c>
      <c r="F185" s="226" t="s">
        <v>9697</v>
      </c>
      <c r="G185" s="226" t="s">
        <v>9698</v>
      </c>
      <c r="H185" s="238" t="s">
        <v>9699</v>
      </c>
      <c r="I185" s="238" t="s">
        <v>9700</v>
      </c>
      <c r="J185" s="226" t="s">
        <v>6253</v>
      </c>
      <c r="K185" s="235" t="s">
        <v>9701</v>
      </c>
      <c r="L185" s="198" t="s">
        <v>8706</v>
      </c>
      <c r="M185" s="6" t="s">
        <v>9702</v>
      </c>
      <c r="N185" s="28" t="s">
        <v>620</v>
      </c>
      <c r="O185" s="28" t="s">
        <v>9703</v>
      </c>
      <c r="P185" s="28" t="s">
        <v>8885</v>
      </c>
      <c r="Q185" s="198" t="s">
        <v>6610</v>
      </c>
    </row>
    <row r="186" customFormat="false" ht="100.5" hidden="false" customHeight="true" outlineLevel="0" collapsed="false">
      <c r="A186" s="226" t="s">
        <v>9704</v>
      </c>
      <c r="B186" s="226" t="s">
        <v>3379</v>
      </c>
      <c r="C186" s="235" t="s">
        <v>9705</v>
      </c>
      <c r="D186" s="226" t="s">
        <v>9706</v>
      </c>
      <c r="E186" s="226" t="s">
        <v>9707</v>
      </c>
      <c r="F186" s="226" t="s">
        <v>9708</v>
      </c>
      <c r="G186" s="238" t="s">
        <v>9709</v>
      </c>
      <c r="H186" s="226" t="s">
        <v>620</v>
      </c>
      <c r="I186" s="238" t="s">
        <v>9710</v>
      </c>
      <c r="J186" s="226" t="s">
        <v>6253</v>
      </c>
      <c r="K186" s="239" t="s">
        <v>9711</v>
      </c>
      <c r="L186" s="198" t="s">
        <v>8706</v>
      </c>
      <c r="M186" s="6" t="s">
        <v>620</v>
      </c>
      <c r="N186" s="28" t="s">
        <v>620</v>
      </c>
      <c r="O186" s="28" t="s">
        <v>9712</v>
      </c>
      <c r="P186" s="28" t="s">
        <v>620</v>
      </c>
      <c r="Q186" s="28" t="s">
        <v>620</v>
      </c>
    </row>
    <row r="187" customFormat="false" ht="57.75" hidden="false" customHeight="true" outlineLevel="0" collapsed="false">
      <c r="A187" s="226" t="s">
        <v>9713</v>
      </c>
      <c r="B187" s="226" t="s">
        <v>3379</v>
      </c>
      <c r="C187" s="235" t="s">
        <v>9714</v>
      </c>
      <c r="D187" s="226" t="s">
        <v>9715</v>
      </c>
      <c r="E187" s="226" t="s">
        <v>9716</v>
      </c>
      <c r="F187" s="226" t="s">
        <v>9717</v>
      </c>
      <c r="G187" s="226" t="s">
        <v>9718</v>
      </c>
      <c r="H187" s="238" t="s">
        <v>9719</v>
      </c>
      <c r="I187" s="238" t="s">
        <v>9720</v>
      </c>
      <c r="J187" s="226" t="s">
        <v>6331</v>
      </c>
      <c r="K187" s="239" t="s">
        <v>9721</v>
      </c>
      <c r="L187" s="198" t="s">
        <v>8706</v>
      </c>
      <c r="M187" s="6" t="s">
        <v>4149</v>
      </c>
      <c r="N187" s="28" t="s">
        <v>620</v>
      </c>
      <c r="O187" s="28" t="s">
        <v>9722</v>
      </c>
      <c r="P187" s="28" t="s">
        <v>8860</v>
      </c>
      <c r="Q187" s="198" t="s">
        <v>6610</v>
      </c>
    </row>
    <row r="188" customFormat="false" ht="72" hidden="false" customHeight="true" outlineLevel="0" collapsed="false">
      <c r="A188" s="226" t="s">
        <v>6959</v>
      </c>
      <c r="B188" s="226" t="s">
        <v>3379</v>
      </c>
      <c r="C188" s="235" t="s">
        <v>9723</v>
      </c>
      <c r="D188" s="226" t="s">
        <v>9724</v>
      </c>
      <c r="E188" s="226" t="s">
        <v>9716</v>
      </c>
      <c r="F188" s="226" t="s">
        <v>9725</v>
      </c>
      <c r="G188" s="226" t="s">
        <v>9726</v>
      </c>
      <c r="H188" s="226" t="s">
        <v>9727</v>
      </c>
      <c r="I188" s="238" t="s">
        <v>9728</v>
      </c>
      <c r="J188" s="226" t="s">
        <v>6331</v>
      </c>
      <c r="K188" s="239" t="s">
        <v>9729</v>
      </c>
      <c r="L188" s="198" t="s">
        <v>8706</v>
      </c>
      <c r="M188" s="6" t="s">
        <v>6953</v>
      </c>
      <c r="N188" s="28" t="s">
        <v>620</v>
      </c>
      <c r="O188" s="28" t="s">
        <v>9722</v>
      </c>
      <c r="P188" s="28" t="s">
        <v>8860</v>
      </c>
      <c r="Q188" s="198" t="s">
        <v>6610</v>
      </c>
    </row>
    <row r="189" customFormat="false" ht="72" hidden="false" customHeight="true" outlineLevel="0" collapsed="false">
      <c r="A189" s="226" t="s">
        <v>9730</v>
      </c>
      <c r="B189" s="226" t="s">
        <v>3379</v>
      </c>
      <c r="C189" s="235" t="s">
        <v>9731</v>
      </c>
      <c r="D189" s="226" t="s">
        <v>9732</v>
      </c>
      <c r="E189" s="226" t="s">
        <v>9733</v>
      </c>
      <c r="F189" s="226" t="s">
        <v>9734</v>
      </c>
      <c r="G189" s="226" t="s">
        <v>9735</v>
      </c>
      <c r="H189" s="226" t="s">
        <v>9736</v>
      </c>
      <c r="I189" s="238" t="s">
        <v>9737</v>
      </c>
      <c r="J189" s="226" t="s">
        <v>6331</v>
      </c>
      <c r="K189" s="239" t="s">
        <v>9738</v>
      </c>
      <c r="L189" s="198" t="s">
        <v>8706</v>
      </c>
      <c r="M189" s="6" t="s">
        <v>9739</v>
      </c>
      <c r="N189" s="28" t="s">
        <v>620</v>
      </c>
      <c r="O189" s="28" t="s">
        <v>9722</v>
      </c>
      <c r="P189" s="28" t="s">
        <v>8860</v>
      </c>
      <c r="Q189" s="198" t="s">
        <v>6717</v>
      </c>
    </row>
    <row r="190" customFormat="false" ht="72" hidden="false" customHeight="true" outlineLevel="0" collapsed="false">
      <c r="A190" s="226" t="s">
        <v>7049</v>
      </c>
      <c r="B190" s="226" t="s">
        <v>3379</v>
      </c>
      <c r="C190" s="235" t="s">
        <v>9740</v>
      </c>
      <c r="D190" s="226" t="s">
        <v>9741</v>
      </c>
      <c r="E190" s="226" t="s">
        <v>9742</v>
      </c>
      <c r="F190" s="226" t="s">
        <v>9743</v>
      </c>
      <c r="G190" s="226" t="s">
        <v>620</v>
      </c>
      <c r="H190" s="226" t="s">
        <v>9744</v>
      </c>
      <c r="I190" s="238" t="s">
        <v>9745</v>
      </c>
      <c r="J190" s="226" t="s">
        <v>6331</v>
      </c>
      <c r="K190" s="235" t="s">
        <v>9746</v>
      </c>
      <c r="L190" s="198" t="s">
        <v>8706</v>
      </c>
      <c r="M190" s="6" t="s">
        <v>3203</v>
      </c>
      <c r="N190" s="28" t="s">
        <v>620</v>
      </c>
      <c r="O190" s="28" t="s">
        <v>9747</v>
      </c>
      <c r="P190" s="28" t="s">
        <v>8885</v>
      </c>
      <c r="Q190" s="198" t="s">
        <v>6610</v>
      </c>
    </row>
    <row r="191" customFormat="false" ht="72" hidden="false" customHeight="true" outlineLevel="0" collapsed="false">
      <c r="A191" s="226" t="s">
        <v>9748</v>
      </c>
      <c r="B191" s="226" t="s">
        <v>3379</v>
      </c>
      <c r="C191" s="235" t="s">
        <v>9749</v>
      </c>
      <c r="D191" s="226" t="s">
        <v>9750</v>
      </c>
      <c r="E191" s="226" t="s">
        <v>9751</v>
      </c>
      <c r="F191" s="226" t="s">
        <v>9752</v>
      </c>
      <c r="G191" s="226" t="s">
        <v>9753</v>
      </c>
      <c r="H191" s="226" t="s">
        <v>9754</v>
      </c>
      <c r="I191" s="238" t="s">
        <v>9755</v>
      </c>
      <c r="J191" s="226" t="s">
        <v>6331</v>
      </c>
      <c r="K191" s="239" t="s">
        <v>9756</v>
      </c>
      <c r="L191" s="198" t="s">
        <v>8706</v>
      </c>
      <c r="M191" s="6" t="s">
        <v>4152</v>
      </c>
      <c r="N191" s="28" t="s">
        <v>620</v>
      </c>
      <c r="O191" s="28" t="s">
        <v>9757</v>
      </c>
      <c r="P191" s="28" t="s">
        <v>8860</v>
      </c>
      <c r="Q191" s="198" t="s">
        <v>6717</v>
      </c>
    </row>
    <row r="192" customFormat="false" ht="57.75" hidden="false" customHeight="true" outlineLevel="0" collapsed="false">
      <c r="A192" s="226" t="s">
        <v>6970</v>
      </c>
      <c r="B192" s="226" t="s">
        <v>3379</v>
      </c>
      <c r="C192" s="235" t="s">
        <v>9758</v>
      </c>
      <c r="D192" s="226" t="s">
        <v>9759</v>
      </c>
      <c r="E192" s="226" t="s">
        <v>9760</v>
      </c>
      <c r="F192" s="226" t="s">
        <v>9761</v>
      </c>
      <c r="G192" s="226" t="s">
        <v>9762</v>
      </c>
      <c r="H192" s="238" t="s">
        <v>9763</v>
      </c>
      <c r="I192" s="238" t="s">
        <v>9764</v>
      </c>
      <c r="J192" s="226" t="s">
        <v>6331</v>
      </c>
      <c r="K192" s="239" t="s">
        <v>9765</v>
      </c>
      <c r="L192" s="198" t="s">
        <v>8706</v>
      </c>
      <c r="M192" s="6" t="s">
        <v>6963</v>
      </c>
      <c r="N192" s="28" t="s">
        <v>620</v>
      </c>
      <c r="O192" s="28" t="s">
        <v>620</v>
      </c>
      <c r="P192" s="28" t="s">
        <v>8885</v>
      </c>
      <c r="Q192" s="198" t="s">
        <v>6717</v>
      </c>
    </row>
    <row r="193" customFormat="false" ht="57.75" hidden="false" customHeight="true" outlineLevel="0" collapsed="false">
      <c r="A193" s="226" t="s">
        <v>9766</v>
      </c>
      <c r="B193" s="226" t="s">
        <v>3379</v>
      </c>
      <c r="C193" s="235" t="s">
        <v>9767</v>
      </c>
      <c r="D193" s="226" t="s">
        <v>9768</v>
      </c>
      <c r="E193" s="226" t="s">
        <v>9769</v>
      </c>
      <c r="F193" s="226" t="s">
        <v>9770</v>
      </c>
      <c r="G193" s="226" t="s">
        <v>9771</v>
      </c>
      <c r="H193" s="226" t="s">
        <v>9772</v>
      </c>
      <c r="I193" s="238" t="s">
        <v>9773</v>
      </c>
      <c r="J193" s="226" t="s">
        <v>6331</v>
      </c>
      <c r="K193" s="239" t="s">
        <v>9774</v>
      </c>
      <c r="L193" s="198" t="s">
        <v>8706</v>
      </c>
      <c r="M193" s="6" t="s">
        <v>6657</v>
      </c>
      <c r="N193" s="28" t="s">
        <v>620</v>
      </c>
      <c r="O193" s="28" t="s">
        <v>9722</v>
      </c>
      <c r="P193" s="28" t="s">
        <v>8836</v>
      </c>
      <c r="Q193" s="198" t="s">
        <v>6610</v>
      </c>
    </row>
    <row r="194" customFormat="false" ht="57.75" hidden="false" customHeight="true" outlineLevel="0" collapsed="false">
      <c r="A194" s="226" t="s">
        <v>9775</v>
      </c>
      <c r="B194" s="226" t="s">
        <v>3379</v>
      </c>
      <c r="C194" s="235" t="s">
        <v>9776</v>
      </c>
      <c r="D194" s="226" t="s">
        <v>9777</v>
      </c>
      <c r="E194" s="226" t="s">
        <v>9716</v>
      </c>
      <c r="F194" s="226" t="s">
        <v>620</v>
      </c>
      <c r="G194" s="226" t="s">
        <v>620</v>
      </c>
      <c r="H194" s="226" t="s">
        <v>9778</v>
      </c>
      <c r="I194" s="238" t="s">
        <v>9779</v>
      </c>
      <c r="J194" s="226" t="s">
        <v>6331</v>
      </c>
      <c r="K194" s="239" t="s">
        <v>9780</v>
      </c>
      <c r="L194" s="198" t="s">
        <v>8706</v>
      </c>
      <c r="M194" s="6" t="s">
        <v>620</v>
      </c>
      <c r="N194" s="28" t="s">
        <v>620</v>
      </c>
      <c r="O194" s="28" t="s">
        <v>620</v>
      </c>
      <c r="P194" s="28" t="s">
        <v>8860</v>
      </c>
      <c r="Q194" s="198" t="s">
        <v>6610</v>
      </c>
    </row>
    <row r="195" customFormat="false" ht="86.25" hidden="false" customHeight="true" outlineLevel="0" collapsed="false">
      <c r="A195" s="226" t="s">
        <v>9781</v>
      </c>
      <c r="B195" s="226" t="s">
        <v>3379</v>
      </c>
      <c r="C195" s="235" t="s">
        <v>9782</v>
      </c>
      <c r="D195" s="226" t="s">
        <v>9783</v>
      </c>
      <c r="E195" s="226" t="s">
        <v>9784</v>
      </c>
      <c r="F195" s="226" t="s">
        <v>9785</v>
      </c>
      <c r="G195" s="226" t="s">
        <v>9786</v>
      </c>
      <c r="H195" s="226" t="s">
        <v>9787</v>
      </c>
      <c r="I195" s="238" t="s">
        <v>9788</v>
      </c>
      <c r="J195" s="226" t="s">
        <v>6331</v>
      </c>
      <c r="K195" s="235" t="s">
        <v>9789</v>
      </c>
      <c r="L195" s="198" t="s">
        <v>8706</v>
      </c>
      <c r="M195" s="6" t="s">
        <v>620</v>
      </c>
      <c r="N195" s="28" t="s">
        <v>620</v>
      </c>
      <c r="O195" s="28" t="s">
        <v>9790</v>
      </c>
      <c r="P195" s="28" t="s">
        <v>8860</v>
      </c>
      <c r="Q195" s="198" t="s">
        <v>6610</v>
      </c>
    </row>
    <row r="196" customFormat="false" ht="100.5" hidden="false" customHeight="true" outlineLevel="0" collapsed="false">
      <c r="A196" s="226" t="s">
        <v>7058</v>
      </c>
      <c r="B196" s="226" t="s">
        <v>3379</v>
      </c>
      <c r="C196" s="235" t="s">
        <v>9791</v>
      </c>
      <c r="D196" s="226" t="s">
        <v>9792</v>
      </c>
      <c r="E196" s="226" t="s">
        <v>9793</v>
      </c>
      <c r="F196" s="226" t="s">
        <v>9794</v>
      </c>
      <c r="G196" s="226" t="s">
        <v>9795</v>
      </c>
      <c r="H196" s="238" t="s">
        <v>9796</v>
      </c>
      <c r="I196" s="238" t="s">
        <v>9797</v>
      </c>
      <c r="J196" s="226" t="s">
        <v>6331</v>
      </c>
      <c r="K196" s="235" t="s">
        <v>9798</v>
      </c>
      <c r="L196" s="198" t="s">
        <v>8706</v>
      </c>
      <c r="M196" s="6" t="s">
        <v>5560</v>
      </c>
      <c r="N196" s="28" t="s">
        <v>620</v>
      </c>
      <c r="O196" s="28" t="s">
        <v>9799</v>
      </c>
      <c r="P196" s="28" t="s">
        <v>8885</v>
      </c>
      <c r="Q196" s="198" t="s">
        <v>6610</v>
      </c>
    </row>
    <row r="197" customFormat="false" ht="72" hidden="false" customHeight="true" outlineLevel="0" collapsed="false">
      <c r="A197" s="226" t="s">
        <v>7066</v>
      </c>
      <c r="B197" s="226" t="s">
        <v>3379</v>
      </c>
      <c r="C197" s="235" t="s">
        <v>9800</v>
      </c>
      <c r="D197" s="226" t="s">
        <v>9801</v>
      </c>
      <c r="E197" s="226" t="s">
        <v>9793</v>
      </c>
      <c r="F197" s="226" t="s">
        <v>9802</v>
      </c>
      <c r="G197" s="226" t="s">
        <v>9803</v>
      </c>
      <c r="H197" s="238" t="s">
        <v>9804</v>
      </c>
      <c r="I197" s="238" t="s">
        <v>9805</v>
      </c>
      <c r="J197" s="226" t="s">
        <v>6331</v>
      </c>
      <c r="K197" s="239" t="s">
        <v>9806</v>
      </c>
      <c r="L197" s="198" t="s">
        <v>8706</v>
      </c>
      <c r="M197" s="6" t="s">
        <v>7059</v>
      </c>
      <c r="N197" s="28" t="s">
        <v>620</v>
      </c>
      <c r="O197" s="28" t="s">
        <v>9799</v>
      </c>
      <c r="P197" s="28" t="s">
        <v>8885</v>
      </c>
      <c r="Q197" s="198" t="s">
        <v>6610</v>
      </c>
    </row>
    <row r="198" customFormat="false" ht="72" hidden="false" customHeight="true" outlineLevel="0" collapsed="false">
      <c r="A198" s="226" t="s">
        <v>7076</v>
      </c>
      <c r="B198" s="226" t="s">
        <v>3379</v>
      </c>
      <c r="C198" s="235" t="s">
        <v>9807</v>
      </c>
      <c r="D198" s="226" t="s">
        <v>9808</v>
      </c>
      <c r="E198" s="226" t="s">
        <v>9809</v>
      </c>
      <c r="F198" s="226" t="s">
        <v>9810</v>
      </c>
      <c r="G198" s="226" t="s">
        <v>9803</v>
      </c>
      <c r="H198" s="226" t="s">
        <v>9811</v>
      </c>
      <c r="I198" s="238" t="s">
        <v>9812</v>
      </c>
      <c r="J198" s="226" t="s">
        <v>6331</v>
      </c>
      <c r="K198" s="239" t="s">
        <v>9813</v>
      </c>
      <c r="L198" s="198" t="s">
        <v>8706</v>
      </c>
      <c r="M198" s="6" t="s">
        <v>5575</v>
      </c>
      <c r="N198" s="28" t="s">
        <v>620</v>
      </c>
      <c r="O198" s="28" t="s">
        <v>9799</v>
      </c>
      <c r="P198" s="28" t="s">
        <v>8860</v>
      </c>
      <c r="Q198" s="198" t="s">
        <v>6610</v>
      </c>
    </row>
    <row r="199" customFormat="false" ht="57.75" hidden="false" customHeight="true" outlineLevel="0" collapsed="false">
      <c r="A199" s="226" t="s">
        <v>9814</v>
      </c>
      <c r="B199" s="226" t="s">
        <v>3379</v>
      </c>
      <c r="C199" s="235" t="s">
        <v>9815</v>
      </c>
      <c r="D199" s="226" t="s">
        <v>9816</v>
      </c>
      <c r="E199" s="226" t="s">
        <v>9817</v>
      </c>
      <c r="F199" s="226" t="s">
        <v>9818</v>
      </c>
      <c r="G199" s="226" t="s">
        <v>9819</v>
      </c>
      <c r="H199" s="226" t="s">
        <v>9820</v>
      </c>
      <c r="I199" s="238" t="s">
        <v>9821</v>
      </c>
      <c r="J199" s="226" t="s">
        <v>6331</v>
      </c>
      <c r="K199" s="239" t="s">
        <v>9822</v>
      </c>
      <c r="L199" s="198" t="s">
        <v>8706</v>
      </c>
      <c r="M199" s="6" t="s">
        <v>620</v>
      </c>
      <c r="N199" s="28" t="s">
        <v>620</v>
      </c>
      <c r="O199" s="28" t="s">
        <v>9799</v>
      </c>
      <c r="P199" s="28" t="s">
        <v>8860</v>
      </c>
      <c r="Q199" s="198" t="s">
        <v>6610</v>
      </c>
    </row>
    <row r="200" customFormat="false" ht="72" hidden="false" customHeight="true" outlineLevel="0" collapsed="false">
      <c r="A200" s="226" t="s">
        <v>9823</v>
      </c>
      <c r="B200" s="226" t="s">
        <v>3379</v>
      </c>
      <c r="C200" s="235" t="s">
        <v>9824</v>
      </c>
      <c r="D200" s="226" t="s">
        <v>9825</v>
      </c>
      <c r="E200" s="226" t="s">
        <v>9784</v>
      </c>
      <c r="F200" s="226" t="s">
        <v>9826</v>
      </c>
      <c r="G200" s="226" t="s">
        <v>9803</v>
      </c>
      <c r="H200" s="226" t="s">
        <v>9827</v>
      </c>
      <c r="I200" s="238" t="s">
        <v>9828</v>
      </c>
      <c r="J200" s="226" t="s">
        <v>6331</v>
      </c>
      <c r="K200" s="239" t="s">
        <v>9829</v>
      </c>
      <c r="L200" s="198" t="s">
        <v>8706</v>
      </c>
      <c r="M200" s="6" t="s">
        <v>620</v>
      </c>
      <c r="N200" s="28" t="s">
        <v>620</v>
      </c>
      <c r="O200" s="28" t="s">
        <v>9799</v>
      </c>
      <c r="P200" s="28" t="s">
        <v>8860</v>
      </c>
      <c r="Q200" s="198" t="s">
        <v>6610</v>
      </c>
    </row>
    <row r="201" customFormat="false" ht="57.75" hidden="false" customHeight="true" outlineLevel="0" collapsed="false">
      <c r="A201" s="226" t="s">
        <v>9830</v>
      </c>
      <c r="B201" s="226" t="s">
        <v>3379</v>
      </c>
      <c r="C201" s="239" t="s">
        <v>9831</v>
      </c>
      <c r="D201" s="226" t="s">
        <v>9832</v>
      </c>
      <c r="E201" s="226" t="s">
        <v>9833</v>
      </c>
      <c r="F201" s="226" t="s">
        <v>9834</v>
      </c>
      <c r="G201" s="226" t="s">
        <v>9835</v>
      </c>
      <c r="H201" s="226" t="s">
        <v>9836</v>
      </c>
      <c r="I201" s="238" t="s">
        <v>9837</v>
      </c>
      <c r="J201" s="226" t="s">
        <v>6331</v>
      </c>
      <c r="K201" s="239" t="s">
        <v>9838</v>
      </c>
      <c r="L201" s="198" t="s">
        <v>8706</v>
      </c>
      <c r="M201" s="6" t="s">
        <v>620</v>
      </c>
      <c r="N201" s="28" t="s">
        <v>620</v>
      </c>
      <c r="O201" s="28" t="s">
        <v>9839</v>
      </c>
      <c r="P201" s="28" t="s">
        <v>8836</v>
      </c>
      <c r="Q201" s="198" t="s">
        <v>6610</v>
      </c>
    </row>
    <row r="202" customFormat="false" ht="72" hidden="false" customHeight="true" outlineLevel="0" collapsed="false">
      <c r="A202" s="226" t="s">
        <v>9840</v>
      </c>
      <c r="B202" s="226" t="s">
        <v>3379</v>
      </c>
      <c r="C202" s="235" t="s">
        <v>9841</v>
      </c>
      <c r="D202" s="226" t="s">
        <v>9842</v>
      </c>
      <c r="E202" s="226" t="s">
        <v>9843</v>
      </c>
      <c r="F202" s="226" t="s">
        <v>9844</v>
      </c>
      <c r="G202" s="226" t="s">
        <v>9845</v>
      </c>
      <c r="H202" s="226" t="s">
        <v>9846</v>
      </c>
      <c r="I202" s="238" t="s">
        <v>9847</v>
      </c>
      <c r="J202" s="226" t="s">
        <v>6331</v>
      </c>
      <c r="K202" s="235" t="s">
        <v>9848</v>
      </c>
      <c r="L202" s="198" t="s">
        <v>8706</v>
      </c>
      <c r="M202" s="6" t="s">
        <v>620</v>
      </c>
      <c r="N202" s="28" t="s">
        <v>620</v>
      </c>
      <c r="O202" s="28" t="s">
        <v>9839</v>
      </c>
      <c r="P202" s="28" t="s">
        <v>8885</v>
      </c>
      <c r="Q202" s="198" t="s">
        <v>6610</v>
      </c>
    </row>
    <row r="203" customFormat="false" ht="72" hidden="false" customHeight="true" outlineLevel="0" collapsed="false">
      <c r="A203" s="226" t="s">
        <v>8090</v>
      </c>
      <c r="B203" s="226" t="s">
        <v>6358</v>
      </c>
      <c r="C203" s="235" t="s">
        <v>9849</v>
      </c>
      <c r="D203" s="226" t="s">
        <v>9850</v>
      </c>
      <c r="E203" s="226" t="s">
        <v>9851</v>
      </c>
      <c r="F203" s="226" t="s">
        <v>9852</v>
      </c>
      <c r="G203" s="226" t="s">
        <v>620</v>
      </c>
      <c r="H203" s="226" t="s">
        <v>9853</v>
      </c>
      <c r="I203" s="238" t="s">
        <v>9854</v>
      </c>
      <c r="J203" s="226" t="s">
        <v>6355</v>
      </c>
      <c r="K203" s="239" t="s">
        <v>9855</v>
      </c>
      <c r="L203" s="198" t="s">
        <v>8706</v>
      </c>
      <c r="M203" s="6" t="s">
        <v>9856</v>
      </c>
      <c r="N203" s="28" t="s">
        <v>620</v>
      </c>
      <c r="O203" s="28" t="s">
        <v>9857</v>
      </c>
      <c r="P203" s="28" t="s">
        <v>8885</v>
      </c>
      <c r="Q203" s="198" t="s">
        <v>6610</v>
      </c>
    </row>
    <row r="204" customFormat="false" ht="72" hidden="false" customHeight="true" outlineLevel="0" collapsed="false">
      <c r="A204" s="226" t="s">
        <v>8109</v>
      </c>
      <c r="B204" s="226" t="s">
        <v>6358</v>
      </c>
      <c r="C204" s="235" t="s">
        <v>9858</v>
      </c>
      <c r="D204" s="226" t="s">
        <v>9859</v>
      </c>
      <c r="E204" s="226" t="s">
        <v>9851</v>
      </c>
      <c r="F204" s="226" t="s">
        <v>9860</v>
      </c>
      <c r="G204" s="226" t="s">
        <v>620</v>
      </c>
      <c r="H204" s="226" t="s">
        <v>9861</v>
      </c>
      <c r="I204" s="238" t="s">
        <v>9862</v>
      </c>
      <c r="J204" s="226" t="s">
        <v>6355</v>
      </c>
      <c r="K204" s="235" t="s">
        <v>9863</v>
      </c>
      <c r="L204" s="198" t="s">
        <v>8706</v>
      </c>
      <c r="M204" s="6" t="s">
        <v>9864</v>
      </c>
      <c r="N204" s="28" t="s">
        <v>620</v>
      </c>
      <c r="O204" s="28" t="s">
        <v>9857</v>
      </c>
      <c r="P204" s="28" t="s">
        <v>8885</v>
      </c>
      <c r="Q204" s="198" t="s">
        <v>6610</v>
      </c>
    </row>
    <row r="205" customFormat="false" ht="72" hidden="false" customHeight="true" outlineLevel="0" collapsed="false">
      <c r="A205" s="226" t="s">
        <v>8118</v>
      </c>
      <c r="B205" s="226" t="s">
        <v>6358</v>
      </c>
      <c r="C205" s="235" t="s">
        <v>9865</v>
      </c>
      <c r="D205" s="226" t="s">
        <v>9866</v>
      </c>
      <c r="E205" s="226" t="s">
        <v>9716</v>
      </c>
      <c r="F205" s="226" t="s">
        <v>9867</v>
      </c>
      <c r="G205" s="226" t="s">
        <v>620</v>
      </c>
      <c r="H205" s="226" t="s">
        <v>9868</v>
      </c>
      <c r="I205" s="238" t="s">
        <v>9869</v>
      </c>
      <c r="J205" s="226" t="s">
        <v>6355</v>
      </c>
      <c r="K205" s="239" t="s">
        <v>9870</v>
      </c>
      <c r="L205" s="198" t="s">
        <v>8706</v>
      </c>
      <c r="M205" s="6" t="s">
        <v>9871</v>
      </c>
      <c r="N205" s="28" t="s">
        <v>620</v>
      </c>
      <c r="O205" s="28" t="s">
        <v>9857</v>
      </c>
      <c r="P205" s="28" t="s">
        <v>8860</v>
      </c>
      <c r="Q205" s="198" t="s">
        <v>6610</v>
      </c>
    </row>
    <row r="206" customFormat="false" ht="72" hidden="false" customHeight="true" outlineLevel="0" collapsed="false">
      <c r="A206" s="226" t="s">
        <v>8129</v>
      </c>
      <c r="B206" s="226" t="s">
        <v>6358</v>
      </c>
      <c r="C206" s="235" t="s">
        <v>9872</v>
      </c>
      <c r="D206" s="226" t="s">
        <v>9873</v>
      </c>
      <c r="E206" s="226" t="s">
        <v>9716</v>
      </c>
      <c r="F206" s="226" t="s">
        <v>9874</v>
      </c>
      <c r="G206" s="226" t="s">
        <v>620</v>
      </c>
      <c r="H206" s="226" t="s">
        <v>9875</v>
      </c>
      <c r="I206" s="238" t="s">
        <v>9876</v>
      </c>
      <c r="J206" s="226" t="s">
        <v>6355</v>
      </c>
      <c r="K206" s="239" t="s">
        <v>9877</v>
      </c>
      <c r="L206" s="198" t="s">
        <v>8706</v>
      </c>
      <c r="M206" s="6" t="s">
        <v>1288</v>
      </c>
      <c r="N206" s="28" t="s">
        <v>620</v>
      </c>
      <c r="O206" s="28" t="s">
        <v>9857</v>
      </c>
      <c r="P206" s="28" t="s">
        <v>8860</v>
      </c>
      <c r="Q206" s="198" t="s">
        <v>6610</v>
      </c>
    </row>
    <row r="207" customFormat="false" ht="72" hidden="false" customHeight="true" outlineLevel="0" collapsed="false">
      <c r="A207" s="226" t="s">
        <v>9878</v>
      </c>
      <c r="B207" s="226" t="s">
        <v>6358</v>
      </c>
      <c r="C207" s="235" t="s">
        <v>9879</v>
      </c>
      <c r="D207" s="226" t="s">
        <v>9880</v>
      </c>
      <c r="E207" s="226" t="s">
        <v>9716</v>
      </c>
      <c r="F207" s="226" t="s">
        <v>620</v>
      </c>
      <c r="G207" s="226" t="s">
        <v>620</v>
      </c>
      <c r="H207" s="226" t="s">
        <v>9881</v>
      </c>
      <c r="I207" s="238" t="s">
        <v>9882</v>
      </c>
      <c r="J207" s="226" t="s">
        <v>6355</v>
      </c>
      <c r="K207" s="239" t="s">
        <v>9883</v>
      </c>
      <c r="L207" s="198" t="s">
        <v>8706</v>
      </c>
      <c r="M207" s="6" t="s">
        <v>620</v>
      </c>
      <c r="N207" s="28" t="s">
        <v>620</v>
      </c>
      <c r="O207" s="28" t="s">
        <v>620</v>
      </c>
      <c r="P207" s="28" t="s">
        <v>8860</v>
      </c>
      <c r="Q207" s="198" t="s">
        <v>6610</v>
      </c>
    </row>
    <row r="208" customFormat="false" ht="72" hidden="false" customHeight="true" outlineLevel="0" collapsed="false">
      <c r="A208" s="226" t="s">
        <v>8136</v>
      </c>
      <c r="B208" s="226" t="s">
        <v>6358</v>
      </c>
      <c r="C208" s="235" t="s">
        <v>9884</v>
      </c>
      <c r="D208" s="226" t="s">
        <v>9885</v>
      </c>
      <c r="E208" s="226" t="s">
        <v>9886</v>
      </c>
      <c r="F208" s="226" t="s">
        <v>9867</v>
      </c>
      <c r="G208" s="226" t="s">
        <v>620</v>
      </c>
      <c r="H208" s="226" t="s">
        <v>9887</v>
      </c>
      <c r="I208" s="238" t="s">
        <v>9888</v>
      </c>
      <c r="J208" s="226" t="s">
        <v>6355</v>
      </c>
      <c r="K208" s="235" t="s">
        <v>9889</v>
      </c>
      <c r="L208" s="198" t="s">
        <v>8706</v>
      </c>
      <c r="M208" s="6" t="s">
        <v>9890</v>
      </c>
      <c r="N208" s="28" t="s">
        <v>620</v>
      </c>
      <c r="O208" s="28" t="s">
        <v>9857</v>
      </c>
      <c r="P208" s="28" t="s">
        <v>9891</v>
      </c>
      <c r="Q208" s="198" t="s">
        <v>6610</v>
      </c>
    </row>
    <row r="209" customFormat="false" ht="72" hidden="false" customHeight="true" outlineLevel="0" collapsed="false">
      <c r="A209" s="226" t="s">
        <v>8161</v>
      </c>
      <c r="B209" s="226" t="s">
        <v>6358</v>
      </c>
      <c r="C209" s="235" t="s">
        <v>9892</v>
      </c>
      <c r="D209" s="226" t="s">
        <v>9893</v>
      </c>
      <c r="E209" s="226" t="s">
        <v>9716</v>
      </c>
      <c r="F209" s="226" t="s">
        <v>9894</v>
      </c>
      <c r="G209" s="226" t="s">
        <v>620</v>
      </c>
      <c r="H209" s="226" t="s">
        <v>9895</v>
      </c>
      <c r="I209" s="238" t="s">
        <v>9896</v>
      </c>
      <c r="J209" s="226" t="s">
        <v>6355</v>
      </c>
      <c r="K209" s="239" t="s">
        <v>9897</v>
      </c>
      <c r="L209" s="198" t="s">
        <v>8706</v>
      </c>
      <c r="M209" s="6" t="s">
        <v>9898</v>
      </c>
      <c r="N209" s="28" t="s">
        <v>620</v>
      </c>
      <c r="O209" s="28" t="s">
        <v>620</v>
      </c>
      <c r="P209" s="28" t="s">
        <v>8860</v>
      </c>
      <c r="Q209" s="198" t="s">
        <v>6610</v>
      </c>
    </row>
    <row r="210" customFormat="false" ht="72" hidden="false" customHeight="true" outlineLevel="0" collapsed="false">
      <c r="A210" s="226" t="s">
        <v>8171</v>
      </c>
      <c r="B210" s="226" t="s">
        <v>6358</v>
      </c>
      <c r="C210" s="235" t="s">
        <v>9899</v>
      </c>
      <c r="D210" s="226" t="s">
        <v>9900</v>
      </c>
      <c r="E210" s="226" t="s">
        <v>9851</v>
      </c>
      <c r="F210" s="226" t="s">
        <v>9901</v>
      </c>
      <c r="G210" s="226" t="s">
        <v>620</v>
      </c>
      <c r="H210" s="226" t="s">
        <v>9902</v>
      </c>
      <c r="I210" s="238" t="s">
        <v>9903</v>
      </c>
      <c r="J210" s="226" t="s">
        <v>6355</v>
      </c>
      <c r="K210" s="235" t="s">
        <v>9904</v>
      </c>
      <c r="L210" s="198" t="s">
        <v>8706</v>
      </c>
      <c r="M210" s="6" t="s">
        <v>9905</v>
      </c>
      <c r="N210" s="28" t="s">
        <v>620</v>
      </c>
      <c r="O210" s="28" t="s">
        <v>620</v>
      </c>
      <c r="P210" s="28" t="s">
        <v>8885</v>
      </c>
      <c r="Q210" s="198" t="s">
        <v>6610</v>
      </c>
    </row>
    <row r="211" customFormat="false" ht="72" hidden="false" customHeight="true" outlineLevel="0" collapsed="false">
      <c r="A211" s="226" t="s">
        <v>8186</v>
      </c>
      <c r="B211" s="226" t="s">
        <v>6358</v>
      </c>
      <c r="C211" s="235" t="s">
        <v>9906</v>
      </c>
      <c r="D211" s="226" t="s">
        <v>9907</v>
      </c>
      <c r="E211" s="226" t="s">
        <v>9716</v>
      </c>
      <c r="F211" s="226" t="s">
        <v>9908</v>
      </c>
      <c r="G211" s="226" t="s">
        <v>620</v>
      </c>
      <c r="H211" s="238" t="s">
        <v>9909</v>
      </c>
      <c r="I211" s="238" t="s">
        <v>9910</v>
      </c>
      <c r="J211" s="226" t="s">
        <v>6355</v>
      </c>
      <c r="K211" s="239" t="s">
        <v>9911</v>
      </c>
      <c r="L211" s="198" t="s">
        <v>8706</v>
      </c>
      <c r="M211" s="6" t="s">
        <v>9912</v>
      </c>
      <c r="N211" s="28" t="s">
        <v>620</v>
      </c>
      <c r="O211" s="28" t="s">
        <v>620</v>
      </c>
      <c r="P211" s="28" t="s">
        <v>8860</v>
      </c>
      <c r="Q211" s="198" t="s">
        <v>6610</v>
      </c>
    </row>
    <row r="212" customFormat="false" ht="72" hidden="false" customHeight="true" outlineLevel="0" collapsed="false">
      <c r="A212" s="226" t="s">
        <v>8207</v>
      </c>
      <c r="B212" s="226" t="s">
        <v>6358</v>
      </c>
      <c r="C212" s="235" t="s">
        <v>9913</v>
      </c>
      <c r="D212" s="226" t="s">
        <v>9914</v>
      </c>
      <c r="E212" s="226" t="s">
        <v>9716</v>
      </c>
      <c r="F212" s="238" t="s">
        <v>9915</v>
      </c>
      <c r="G212" s="226" t="s">
        <v>9916</v>
      </c>
      <c r="H212" s="238" t="s">
        <v>9917</v>
      </c>
      <c r="I212" s="238" t="s">
        <v>9918</v>
      </c>
      <c r="J212" s="226" t="s">
        <v>6355</v>
      </c>
      <c r="K212" s="235" t="s">
        <v>9919</v>
      </c>
      <c r="L212" s="198" t="s">
        <v>8706</v>
      </c>
      <c r="M212" s="6" t="s">
        <v>9920</v>
      </c>
      <c r="N212" s="28" t="s">
        <v>620</v>
      </c>
      <c r="O212" s="28" t="s">
        <v>9857</v>
      </c>
      <c r="P212" s="28" t="s">
        <v>8860</v>
      </c>
      <c r="Q212" s="198" t="s">
        <v>6610</v>
      </c>
    </row>
    <row r="213" customFormat="false" ht="72" hidden="false" customHeight="true" outlineLevel="0" collapsed="false">
      <c r="A213" s="226" t="s">
        <v>8233</v>
      </c>
      <c r="B213" s="226" t="s">
        <v>6358</v>
      </c>
      <c r="C213" s="235" t="s">
        <v>9921</v>
      </c>
      <c r="D213" s="226" t="s">
        <v>9922</v>
      </c>
      <c r="E213" s="226" t="s">
        <v>9716</v>
      </c>
      <c r="F213" s="238" t="s">
        <v>9923</v>
      </c>
      <c r="G213" s="226" t="s">
        <v>620</v>
      </c>
      <c r="H213" s="226" t="s">
        <v>9924</v>
      </c>
      <c r="I213" s="238" t="s">
        <v>9925</v>
      </c>
      <c r="J213" s="226" t="s">
        <v>6355</v>
      </c>
      <c r="K213" s="239" t="s">
        <v>9926</v>
      </c>
      <c r="L213" s="198" t="s">
        <v>8706</v>
      </c>
      <c r="M213" s="6" t="s">
        <v>5664</v>
      </c>
      <c r="N213" s="28" t="s">
        <v>620</v>
      </c>
      <c r="O213" s="28" t="s">
        <v>620</v>
      </c>
      <c r="P213" s="28" t="s">
        <v>8860</v>
      </c>
      <c r="Q213" s="198" t="s">
        <v>6610</v>
      </c>
    </row>
    <row r="214" customFormat="false" ht="72" hidden="false" customHeight="true" outlineLevel="0" collapsed="false">
      <c r="A214" s="226" t="s">
        <v>8242</v>
      </c>
      <c r="B214" s="226" t="s">
        <v>6358</v>
      </c>
      <c r="C214" s="235" t="s">
        <v>9927</v>
      </c>
      <c r="D214" s="226" t="s">
        <v>9928</v>
      </c>
      <c r="E214" s="226" t="s">
        <v>9716</v>
      </c>
      <c r="F214" s="226" t="s">
        <v>9929</v>
      </c>
      <c r="G214" s="226" t="s">
        <v>620</v>
      </c>
      <c r="H214" s="226" t="s">
        <v>9930</v>
      </c>
      <c r="I214" s="238" t="s">
        <v>9931</v>
      </c>
      <c r="J214" s="226" t="s">
        <v>6355</v>
      </c>
      <c r="K214" s="235" t="s">
        <v>9932</v>
      </c>
      <c r="L214" s="198" t="s">
        <v>8706</v>
      </c>
      <c r="M214" s="6" t="s">
        <v>9933</v>
      </c>
      <c r="N214" s="28" t="s">
        <v>620</v>
      </c>
      <c r="O214" s="28" t="s">
        <v>620</v>
      </c>
      <c r="P214" s="28" t="s">
        <v>8860</v>
      </c>
      <c r="Q214" s="198" t="s">
        <v>6610</v>
      </c>
    </row>
    <row r="215" customFormat="false" ht="72" hidden="false" customHeight="true" outlineLevel="0" collapsed="false">
      <c r="A215" s="226" t="s">
        <v>8251</v>
      </c>
      <c r="B215" s="226" t="s">
        <v>6358</v>
      </c>
      <c r="C215" s="235" t="s">
        <v>9934</v>
      </c>
      <c r="D215" s="226" t="s">
        <v>9935</v>
      </c>
      <c r="E215" s="226" t="s">
        <v>9851</v>
      </c>
      <c r="F215" s="238" t="s">
        <v>9936</v>
      </c>
      <c r="G215" s="226" t="s">
        <v>620</v>
      </c>
      <c r="H215" s="226" t="s">
        <v>9937</v>
      </c>
      <c r="I215" s="238" t="s">
        <v>9938</v>
      </c>
      <c r="J215" s="226" t="s">
        <v>6355</v>
      </c>
      <c r="K215" s="239" t="s">
        <v>9939</v>
      </c>
      <c r="L215" s="198" t="s">
        <v>8706</v>
      </c>
      <c r="M215" s="6" t="s">
        <v>8245</v>
      </c>
      <c r="N215" s="28" t="s">
        <v>620</v>
      </c>
      <c r="O215" s="28" t="s">
        <v>9940</v>
      </c>
      <c r="P215" s="28" t="s">
        <v>8885</v>
      </c>
      <c r="Q215" s="198" t="s">
        <v>6610</v>
      </c>
    </row>
    <row r="216" customFormat="false" ht="72" hidden="false" customHeight="true" outlineLevel="0" collapsed="false">
      <c r="A216" s="226" t="s">
        <v>8260</v>
      </c>
      <c r="B216" s="226" t="s">
        <v>6358</v>
      </c>
      <c r="C216" s="235" t="s">
        <v>9941</v>
      </c>
      <c r="D216" s="226" t="s">
        <v>9942</v>
      </c>
      <c r="E216" s="226" t="s">
        <v>9851</v>
      </c>
      <c r="F216" s="238" t="s">
        <v>9943</v>
      </c>
      <c r="G216" s="226" t="s">
        <v>620</v>
      </c>
      <c r="H216" s="226" t="s">
        <v>9944</v>
      </c>
      <c r="I216" s="238" t="s">
        <v>9945</v>
      </c>
      <c r="J216" s="226" t="s">
        <v>6355</v>
      </c>
      <c r="K216" s="239" t="s">
        <v>9946</v>
      </c>
      <c r="L216" s="198" t="s">
        <v>8706</v>
      </c>
      <c r="M216" s="6" t="s">
        <v>8254</v>
      </c>
      <c r="N216" s="28" t="s">
        <v>620</v>
      </c>
      <c r="O216" s="28" t="s">
        <v>620</v>
      </c>
      <c r="P216" s="28" t="s">
        <v>8885</v>
      </c>
      <c r="Q216" s="198" t="s">
        <v>6610</v>
      </c>
    </row>
    <row r="217" customFormat="false" ht="72" hidden="false" customHeight="true" outlineLevel="0" collapsed="false">
      <c r="A217" s="226" t="s">
        <v>8270</v>
      </c>
      <c r="B217" s="226" t="s">
        <v>6358</v>
      </c>
      <c r="C217" s="235" t="s">
        <v>9947</v>
      </c>
      <c r="D217" s="226" t="s">
        <v>9948</v>
      </c>
      <c r="E217" s="226" t="s">
        <v>9949</v>
      </c>
      <c r="F217" s="226" t="s">
        <v>9950</v>
      </c>
      <c r="G217" s="226" t="s">
        <v>9951</v>
      </c>
      <c r="H217" s="226" t="s">
        <v>9952</v>
      </c>
      <c r="I217" s="238" t="s">
        <v>9953</v>
      </c>
      <c r="J217" s="226" t="s">
        <v>6355</v>
      </c>
      <c r="K217" s="235" t="s">
        <v>9954</v>
      </c>
      <c r="L217" s="198" t="s">
        <v>8706</v>
      </c>
      <c r="M217" s="6" t="s">
        <v>9955</v>
      </c>
      <c r="N217" s="28" t="s">
        <v>620</v>
      </c>
      <c r="O217" s="28" t="s">
        <v>9956</v>
      </c>
      <c r="P217" s="28" t="s">
        <v>8885</v>
      </c>
      <c r="Q217" s="198" t="s">
        <v>6717</v>
      </c>
    </row>
    <row r="218" customFormat="false" ht="72" hidden="false" customHeight="true" outlineLevel="0" collapsed="false">
      <c r="A218" s="226" t="s">
        <v>8285</v>
      </c>
      <c r="B218" s="226" t="s">
        <v>6358</v>
      </c>
      <c r="C218" s="235" t="s">
        <v>9957</v>
      </c>
      <c r="D218" s="226" t="s">
        <v>9958</v>
      </c>
      <c r="E218" s="226" t="s">
        <v>9716</v>
      </c>
      <c r="F218" s="226" t="s">
        <v>9959</v>
      </c>
      <c r="G218" s="226" t="s">
        <v>9951</v>
      </c>
      <c r="H218" s="226" t="s">
        <v>9960</v>
      </c>
      <c r="I218" s="238" t="s">
        <v>9961</v>
      </c>
      <c r="J218" s="226" t="s">
        <v>6355</v>
      </c>
      <c r="K218" s="239" t="s">
        <v>9962</v>
      </c>
      <c r="L218" s="198" t="s">
        <v>8706</v>
      </c>
      <c r="M218" s="6" t="s">
        <v>8278</v>
      </c>
      <c r="N218" s="28" t="s">
        <v>620</v>
      </c>
      <c r="O218" s="28" t="s">
        <v>9956</v>
      </c>
      <c r="P218" s="28" t="s">
        <v>8860</v>
      </c>
      <c r="Q218" s="198" t="s">
        <v>6610</v>
      </c>
    </row>
    <row r="219" customFormat="false" ht="72" hidden="false" customHeight="true" outlineLevel="0" collapsed="false">
      <c r="A219" s="226" t="s">
        <v>9963</v>
      </c>
      <c r="B219" s="226" t="s">
        <v>6358</v>
      </c>
      <c r="C219" s="235" t="s">
        <v>9964</v>
      </c>
      <c r="D219" s="226" t="s">
        <v>9965</v>
      </c>
      <c r="E219" s="226" t="s">
        <v>9966</v>
      </c>
      <c r="F219" s="226" t="s">
        <v>9967</v>
      </c>
      <c r="G219" s="226" t="s">
        <v>620</v>
      </c>
      <c r="H219" s="226" t="s">
        <v>620</v>
      </c>
      <c r="I219" s="238" t="s">
        <v>9968</v>
      </c>
      <c r="J219" s="226" t="s">
        <v>6355</v>
      </c>
      <c r="K219" s="235" t="s">
        <v>9969</v>
      </c>
      <c r="L219" s="198" t="s">
        <v>8706</v>
      </c>
      <c r="M219" s="6" t="s">
        <v>620</v>
      </c>
      <c r="N219" s="28" t="s">
        <v>620</v>
      </c>
      <c r="O219" s="28" t="s">
        <v>620</v>
      </c>
      <c r="P219" s="28" t="s">
        <v>8885</v>
      </c>
      <c r="Q219" s="198" t="s">
        <v>6610</v>
      </c>
    </row>
    <row r="220" customFormat="false" ht="72" hidden="false" customHeight="true" outlineLevel="0" collapsed="false">
      <c r="A220" s="226" t="s">
        <v>9970</v>
      </c>
      <c r="B220" s="226" t="s">
        <v>6358</v>
      </c>
      <c r="C220" s="235" t="s">
        <v>9971</v>
      </c>
      <c r="D220" s="226" t="s">
        <v>9972</v>
      </c>
      <c r="E220" s="226" t="s">
        <v>9716</v>
      </c>
      <c r="F220" s="226" t="s">
        <v>9973</v>
      </c>
      <c r="G220" s="226" t="s">
        <v>620</v>
      </c>
      <c r="H220" s="226" t="s">
        <v>9974</v>
      </c>
      <c r="I220" s="238" t="s">
        <v>9975</v>
      </c>
      <c r="J220" s="226" t="s">
        <v>6355</v>
      </c>
      <c r="K220" s="239" t="s">
        <v>9976</v>
      </c>
      <c r="L220" s="198" t="s">
        <v>8706</v>
      </c>
      <c r="M220" s="6" t="s">
        <v>620</v>
      </c>
      <c r="N220" s="28" t="s">
        <v>620</v>
      </c>
      <c r="O220" s="28" t="s">
        <v>620</v>
      </c>
      <c r="P220" s="28" t="s">
        <v>8860</v>
      </c>
      <c r="Q220" s="198" t="s">
        <v>6610</v>
      </c>
    </row>
    <row r="221" customFormat="false" ht="72" hidden="false" customHeight="true" outlineLevel="0" collapsed="false">
      <c r="A221" s="226" t="s">
        <v>9977</v>
      </c>
      <c r="B221" s="226" t="s">
        <v>6358</v>
      </c>
      <c r="C221" s="235" t="s">
        <v>9978</v>
      </c>
      <c r="D221" s="226" t="s">
        <v>9979</v>
      </c>
      <c r="E221" s="226" t="s">
        <v>9980</v>
      </c>
      <c r="F221" s="226" t="s">
        <v>9981</v>
      </c>
      <c r="G221" s="226" t="s">
        <v>620</v>
      </c>
      <c r="H221" s="226" t="s">
        <v>620</v>
      </c>
      <c r="I221" s="238" t="s">
        <v>9982</v>
      </c>
      <c r="J221" s="226" t="s">
        <v>6355</v>
      </c>
      <c r="K221" s="239" t="s">
        <v>9983</v>
      </c>
      <c r="L221" s="198" t="s">
        <v>8706</v>
      </c>
      <c r="M221" s="6" t="s">
        <v>620</v>
      </c>
      <c r="N221" s="28" t="s">
        <v>620</v>
      </c>
      <c r="O221" s="28" t="s">
        <v>620</v>
      </c>
      <c r="P221" s="28" t="s">
        <v>9891</v>
      </c>
      <c r="Q221" s="198" t="s">
        <v>6610</v>
      </c>
    </row>
    <row r="222" customFormat="false" ht="72" hidden="false" customHeight="true" outlineLevel="0" collapsed="false">
      <c r="A222" s="226" t="s">
        <v>9984</v>
      </c>
      <c r="B222" s="226" t="s">
        <v>6358</v>
      </c>
      <c r="C222" s="235" t="s">
        <v>9985</v>
      </c>
      <c r="D222" s="226" t="s">
        <v>9986</v>
      </c>
      <c r="E222" s="226" t="s">
        <v>9851</v>
      </c>
      <c r="F222" s="226" t="s">
        <v>9987</v>
      </c>
      <c r="G222" s="226" t="s">
        <v>620</v>
      </c>
      <c r="H222" s="226" t="s">
        <v>9988</v>
      </c>
      <c r="I222" s="238" t="s">
        <v>9989</v>
      </c>
      <c r="J222" s="226" t="s">
        <v>6355</v>
      </c>
      <c r="K222" s="239" t="s">
        <v>9990</v>
      </c>
      <c r="L222" s="198" t="s">
        <v>8706</v>
      </c>
      <c r="M222" s="6" t="s">
        <v>620</v>
      </c>
      <c r="N222" s="28" t="s">
        <v>620</v>
      </c>
      <c r="O222" s="28" t="s">
        <v>620</v>
      </c>
      <c r="P222" s="28" t="s">
        <v>8885</v>
      </c>
      <c r="Q222" s="198" t="s">
        <v>6610</v>
      </c>
    </row>
    <row r="223" customFormat="false" ht="72" hidden="false" customHeight="true" outlineLevel="0" collapsed="false">
      <c r="A223" s="226" t="s">
        <v>9991</v>
      </c>
      <c r="B223" s="226" t="s">
        <v>6358</v>
      </c>
      <c r="C223" s="235" t="s">
        <v>9992</v>
      </c>
      <c r="D223" s="226" t="s">
        <v>9993</v>
      </c>
      <c r="E223" s="226" t="s">
        <v>9994</v>
      </c>
      <c r="F223" s="226" t="s">
        <v>9995</v>
      </c>
      <c r="G223" s="226" t="s">
        <v>620</v>
      </c>
      <c r="H223" s="226" t="s">
        <v>620</v>
      </c>
      <c r="I223" s="238" t="s">
        <v>9996</v>
      </c>
      <c r="J223" s="226" t="s">
        <v>6355</v>
      </c>
      <c r="K223" s="239" t="s">
        <v>9997</v>
      </c>
      <c r="L223" s="198" t="s">
        <v>8706</v>
      </c>
      <c r="M223" s="6" t="s">
        <v>620</v>
      </c>
      <c r="N223" s="28" t="s">
        <v>620</v>
      </c>
      <c r="O223" s="28" t="s">
        <v>620</v>
      </c>
      <c r="P223" s="28" t="s">
        <v>8860</v>
      </c>
      <c r="Q223" s="198" t="s">
        <v>6610</v>
      </c>
    </row>
    <row r="224" customFormat="false" ht="72" hidden="false" customHeight="true" outlineLevel="0" collapsed="false">
      <c r="A224" s="226" t="s">
        <v>9998</v>
      </c>
      <c r="B224" s="226" t="s">
        <v>6358</v>
      </c>
      <c r="C224" s="235" t="s">
        <v>9999</v>
      </c>
      <c r="D224" s="226" t="s">
        <v>10000</v>
      </c>
      <c r="E224" s="226" t="s">
        <v>9716</v>
      </c>
      <c r="F224" s="226" t="s">
        <v>620</v>
      </c>
      <c r="G224" s="226" t="s">
        <v>620</v>
      </c>
      <c r="H224" s="226" t="s">
        <v>10001</v>
      </c>
      <c r="I224" s="238" t="s">
        <v>10002</v>
      </c>
      <c r="J224" s="226" t="s">
        <v>6355</v>
      </c>
      <c r="K224" s="239" t="s">
        <v>10003</v>
      </c>
      <c r="L224" s="198" t="s">
        <v>8706</v>
      </c>
      <c r="M224" s="6" t="s">
        <v>620</v>
      </c>
      <c r="N224" s="28" t="s">
        <v>620</v>
      </c>
      <c r="O224" s="28" t="s">
        <v>620</v>
      </c>
      <c r="P224" s="28" t="s">
        <v>8860</v>
      </c>
      <c r="Q224" s="198" t="s">
        <v>6610</v>
      </c>
    </row>
    <row r="225" customFormat="false" ht="72" hidden="false" customHeight="true" outlineLevel="0" collapsed="false">
      <c r="A225" s="226" t="s">
        <v>10004</v>
      </c>
      <c r="B225" s="226" t="s">
        <v>6358</v>
      </c>
      <c r="C225" s="235" t="s">
        <v>10005</v>
      </c>
      <c r="D225" s="226" t="s">
        <v>10006</v>
      </c>
      <c r="E225" s="226" t="s">
        <v>9769</v>
      </c>
      <c r="F225" s="238" t="s">
        <v>10007</v>
      </c>
      <c r="G225" s="226" t="s">
        <v>620</v>
      </c>
      <c r="H225" s="238" t="s">
        <v>10008</v>
      </c>
      <c r="I225" s="238" t="s">
        <v>10009</v>
      </c>
      <c r="J225" s="226" t="s">
        <v>6355</v>
      </c>
      <c r="K225" s="239" t="s">
        <v>10010</v>
      </c>
      <c r="L225" s="198" t="s">
        <v>8706</v>
      </c>
      <c r="M225" s="6" t="s">
        <v>620</v>
      </c>
      <c r="N225" s="28" t="s">
        <v>620</v>
      </c>
      <c r="O225" s="28" t="s">
        <v>620</v>
      </c>
      <c r="P225" s="28" t="s">
        <v>8836</v>
      </c>
      <c r="Q225" s="198" t="s">
        <v>10011</v>
      </c>
    </row>
    <row r="226" customFormat="false" ht="100.5" hidden="false" customHeight="true" outlineLevel="0" collapsed="false">
      <c r="A226" s="226" t="s">
        <v>8293</v>
      </c>
      <c r="B226" s="226" t="s">
        <v>6391</v>
      </c>
      <c r="C226" s="235" t="s">
        <v>10012</v>
      </c>
      <c r="D226" s="226" t="s">
        <v>10013</v>
      </c>
      <c r="E226" s="226" t="s">
        <v>9851</v>
      </c>
      <c r="F226" s="226" t="s">
        <v>10014</v>
      </c>
      <c r="G226" s="226" t="s">
        <v>10015</v>
      </c>
      <c r="H226" s="226" t="s">
        <v>10016</v>
      </c>
      <c r="I226" s="238" t="s">
        <v>10017</v>
      </c>
      <c r="J226" s="226" t="s">
        <v>6388</v>
      </c>
      <c r="K226" s="239" t="s">
        <v>10018</v>
      </c>
      <c r="L226" s="198" t="s">
        <v>8706</v>
      </c>
      <c r="M226" s="6" t="s">
        <v>10019</v>
      </c>
      <c r="N226" s="28" t="s">
        <v>620</v>
      </c>
      <c r="O226" s="28" t="s">
        <v>10020</v>
      </c>
      <c r="P226" s="28" t="s">
        <v>8885</v>
      </c>
      <c r="Q226" s="198" t="s">
        <v>6610</v>
      </c>
    </row>
    <row r="227" customFormat="false" ht="86.25" hidden="false" customHeight="true" outlineLevel="0" collapsed="false">
      <c r="A227" s="226" t="s">
        <v>8302</v>
      </c>
      <c r="B227" s="226" t="s">
        <v>6391</v>
      </c>
      <c r="C227" s="235" t="s">
        <v>10021</v>
      </c>
      <c r="D227" s="226" t="s">
        <v>10022</v>
      </c>
      <c r="E227" s="226" t="s">
        <v>9851</v>
      </c>
      <c r="F227" s="238" t="s">
        <v>10023</v>
      </c>
      <c r="G227" s="226" t="s">
        <v>620</v>
      </c>
      <c r="H227" s="226" t="s">
        <v>10024</v>
      </c>
      <c r="I227" s="238" t="s">
        <v>10025</v>
      </c>
      <c r="J227" s="226" t="s">
        <v>6388</v>
      </c>
      <c r="K227" s="239" t="s">
        <v>10026</v>
      </c>
      <c r="L227" s="198" t="s">
        <v>8706</v>
      </c>
      <c r="M227" s="6" t="s">
        <v>5608</v>
      </c>
      <c r="N227" s="28" t="s">
        <v>620</v>
      </c>
      <c r="O227" s="28" t="s">
        <v>10027</v>
      </c>
      <c r="P227" s="28" t="s">
        <v>8885</v>
      </c>
      <c r="Q227" s="198" t="s">
        <v>6610</v>
      </c>
    </row>
    <row r="228" customFormat="false" ht="100.5" hidden="false" customHeight="true" outlineLevel="0" collapsed="false">
      <c r="A228" s="226" t="s">
        <v>8312</v>
      </c>
      <c r="B228" s="226" t="s">
        <v>6391</v>
      </c>
      <c r="C228" s="235" t="s">
        <v>10028</v>
      </c>
      <c r="D228" s="226" t="s">
        <v>10029</v>
      </c>
      <c r="E228" s="226" t="s">
        <v>10030</v>
      </c>
      <c r="F228" s="226" t="s">
        <v>10031</v>
      </c>
      <c r="G228" s="226" t="s">
        <v>10032</v>
      </c>
      <c r="H228" s="226" t="s">
        <v>10033</v>
      </c>
      <c r="I228" s="238" t="s">
        <v>10034</v>
      </c>
      <c r="J228" s="226" t="s">
        <v>6388</v>
      </c>
      <c r="K228" s="235" t="s">
        <v>10035</v>
      </c>
      <c r="L228" s="198" t="s">
        <v>8706</v>
      </c>
      <c r="M228" s="6" t="s">
        <v>8305</v>
      </c>
      <c r="N228" s="28" t="s">
        <v>620</v>
      </c>
      <c r="O228" s="28" t="s">
        <v>620</v>
      </c>
      <c r="P228" s="28" t="s">
        <v>8885</v>
      </c>
      <c r="Q228" s="198" t="s">
        <v>6717</v>
      </c>
    </row>
    <row r="229" customFormat="false" ht="86.25" hidden="false" customHeight="true" outlineLevel="0" collapsed="false">
      <c r="A229" s="226" t="s">
        <v>8322</v>
      </c>
      <c r="B229" s="226" t="s">
        <v>6391</v>
      </c>
      <c r="C229" s="235" t="s">
        <v>10036</v>
      </c>
      <c r="D229" s="226" t="s">
        <v>10037</v>
      </c>
      <c r="E229" s="226" t="s">
        <v>10030</v>
      </c>
      <c r="F229" s="226" t="s">
        <v>10031</v>
      </c>
      <c r="G229" s="226" t="s">
        <v>10032</v>
      </c>
      <c r="H229" s="226" t="s">
        <v>10038</v>
      </c>
      <c r="I229" s="238" t="s">
        <v>10039</v>
      </c>
      <c r="J229" s="226" t="s">
        <v>6388</v>
      </c>
      <c r="K229" s="239" t="s">
        <v>10040</v>
      </c>
      <c r="L229" s="198" t="s">
        <v>8706</v>
      </c>
      <c r="M229" s="6" t="s">
        <v>8315</v>
      </c>
      <c r="N229" s="28" t="s">
        <v>620</v>
      </c>
      <c r="O229" s="28" t="s">
        <v>620</v>
      </c>
      <c r="P229" s="28" t="s">
        <v>8885</v>
      </c>
      <c r="Q229" s="198" t="s">
        <v>6717</v>
      </c>
    </row>
    <row r="230" customFormat="false" ht="86.25" hidden="false" customHeight="true" outlineLevel="0" collapsed="false">
      <c r="A230" s="226" t="s">
        <v>8332</v>
      </c>
      <c r="B230" s="226" t="s">
        <v>6391</v>
      </c>
      <c r="C230" s="235" t="s">
        <v>10041</v>
      </c>
      <c r="D230" s="226" t="s">
        <v>10042</v>
      </c>
      <c r="E230" s="226" t="s">
        <v>10043</v>
      </c>
      <c r="F230" s="238" t="s">
        <v>10044</v>
      </c>
      <c r="G230" s="226" t="s">
        <v>620</v>
      </c>
      <c r="H230" s="226" t="s">
        <v>10045</v>
      </c>
      <c r="I230" s="238" t="s">
        <v>10046</v>
      </c>
      <c r="J230" s="226" t="s">
        <v>6388</v>
      </c>
      <c r="K230" s="239" t="s">
        <v>10047</v>
      </c>
      <c r="L230" s="198" t="s">
        <v>8706</v>
      </c>
      <c r="M230" s="6" t="s">
        <v>8325</v>
      </c>
      <c r="N230" s="28" t="s">
        <v>620</v>
      </c>
      <c r="O230" s="28" t="s">
        <v>620</v>
      </c>
      <c r="P230" s="28" t="s">
        <v>8860</v>
      </c>
      <c r="Q230" s="198" t="s">
        <v>6610</v>
      </c>
    </row>
    <row r="231" customFormat="false" ht="86.25" hidden="false" customHeight="true" outlineLevel="0" collapsed="false">
      <c r="A231" s="226" t="s">
        <v>8340</v>
      </c>
      <c r="B231" s="226" t="s">
        <v>6391</v>
      </c>
      <c r="C231" s="239" t="s">
        <v>10048</v>
      </c>
      <c r="D231" s="226" t="s">
        <v>10049</v>
      </c>
      <c r="E231" s="226" t="s">
        <v>9851</v>
      </c>
      <c r="F231" s="226" t="s">
        <v>10050</v>
      </c>
      <c r="G231" s="226" t="s">
        <v>620</v>
      </c>
      <c r="H231" s="226" t="s">
        <v>10051</v>
      </c>
      <c r="I231" s="238" t="s">
        <v>10052</v>
      </c>
      <c r="J231" s="226" t="s">
        <v>6388</v>
      </c>
      <c r="K231" s="239" t="s">
        <v>10053</v>
      </c>
      <c r="L231" s="198" t="s">
        <v>8706</v>
      </c>
      <c r="M231" s="6" t="s">
        <v>8335</v>
      </c>
      <c r="N231" s="28" t="s">
        <v>620</v>
      </c>
      <c r="O231" s="28" t="s">
        <v>620</v>
      </c>
      <c r="P231" s="28" t="s">
        <v>8885</v>
      </c>
      <c r="Q231" s="198" t="s">
        <v>6610</v>
      </c>
    </row>
    <row r="232" customFormat="false" ht="100.5" hidden="false" customHeight="true" outlineLevel="0" collapsed="false">
      <c r="A232" s="226" t="s">
        <v>8350</v>
      </c>
      <c r="B232" s="226" t="s">
        <v>6391</v>
      </c>
      <c r="C232" s="235" t="s">
        <v>10054</v>
      </c>
      <c r="D232" s="226" t="s">
        <v>10055</v>
      </c>
      <c r="E232" s="226" t="s">
        <v>9716</v>
      </c>
      <c r="F232" s="226" t="s">
        <v>10056</v>
      </c>
      <c r="G232" s="226" t="s">
        <v>620</v>
      </c>
      <c r="H232" s="226" t="s">
        <v>10057</v>
      </c>
      <c r="I232" s="238" t="s">
        <v>10058</v>
      </c>
      <c r="J232" s="226" t="s">
        <v>6388</v>
      </c>
      <c r="K232" s="239" t="s">
        <v>10059</v>
      </c>
      <c r="L232" s="198" t="s">
        <v>8706</v>
      </c>
      <c r="M232" s="6" t="s">
        <v>8343</v>
      </c>
      <c r="N232" s="28" t="s">
        <v>620</v>
      </c>
      <c r="O232" s="28" t="s">
        <v>620</v>
      </c>
      <c r="P232" s="28" t="s">
        <v>8860</v>
      </c>
      <c r="Q232" s="198" t="s">
        <v>6610</v>
      </c>
    </row>
    <row r="233" customFormat="false" ht="86.25" hidden="false" customHeight="true" outlineLevel="0" collapsed="false">
      <c r="A233" s="226" t="s">
        <v>8359</v>
      </c>
      <c r="B233" s="226" t="s">
        <v>6391</v>
      </c>
      <c r="C233" s="239" t="s">
        <v>10060</v>
      </c>
      <c r="D233" s="226" t="s">
        <v>10061</v>
      </c>
      <c r="E233" s="226" t="s">
        <v>9716</v>
      </c>
      <c r="F233" s="238" t="s">
        <v>10062</v>
      </c>
      <c r="G233" s="226" t="s">
        <v>620</v>
      </c>
      <c r="H233" s="226" t="s">
        <v>10063</v>
      </c>
      <c r="I233" s="238" t="s">
        <v>10064</v>
      </c>
      <c r="J233" s="226" t="s">
        <v>6388</v>
      </c>
      <c r="K233" s="239" t="s">
        <v>10065</v>
      </c>
      <c r="L233" s="198" t="s">
        <v>8706</v>
      </c>
      <c r="M233" s="6" t="s">
        <v>8353</v>
      </c>
      <c r="N233" s="28" t="s">
        <v>620</v>
      </c>
      <c r="O233" s="28" t="s">
        <v>10066</v>
      </c>
      <c r="P233" s="28" t="s">
        <v>8860</v>
      </c>
      <c r="Q233" s="198" t="s">
        <v>6610</v>
      </c>
    </row>
    <row r="234" customFormat="false" ht="86.25" hidden="false" customHeight="true" outlineLevel="0" collapsed="false">
      <c r="A234" s="226" t="s">
        <v>10067</v>
      </c>
      <c r="B234" s="226" t="s">
        <v>6391</v>
      </c>
      <c r="C234" s="235" t="s">
        <v>10068</v>
      </c>
      <c r="D234" s="226" t="s">
        <v>10069</v>
      </c>
      <c r="E234" s="226" t="s">
        <v>9716</v>
      </c>
      <c r="F234" s="238" t="s">
        <v>10070</v>
      </c>
      <c r="G234" s="226" t="s">
        <v>620</v>
      </c>
      <c r="H234" s="226" t="s">
        <v>10071</v>
      </c>
      <c r="I234" s="238" t="s">
        <v>10072</v>
      </c>
      <c r="J234" s="226" t="s">
        <v>6388</v>
      </c>
      <c r="K234" s="235" t="s">
        <v>10073</v>
      </c>
      <c r="L234" s="198" t="s">
        <v>8706</v>
      </c>
      <c r="M234" s="6" t="s">
        <v>620</v>
      </c>
      <c r="N234" s="28" t="s">
        <v>620</v>
      </c>
      <c r="O234" s="28" t="s">
        <v>620</v>
      </c>
      <c r="P234" s="28" t="s">
        <v>8860</v>
      </c>
      <c r="Q234" s="198" t="s">
        <v>10074</v>
      </c>
    </row>
    <row r="235" customFormat="false" ht="86.25" hidden="false" customHeight="true" outlineLevel="0" collapsed="false">
      <c r="A235" s="226" t="s">
        <v>8367</v>
      </c>
      <c r="B235" s="226" t="s">
        <v>6391</v>
      </c>
      <c r="C235" s="235" t="s">
        <v>10075</v>
      </c>
      <c r="D235" s="226" t="s">
        <v>10076</v>
      </c>
      <c r="E235" s="226" t="s">
        <v>9716</v>
      </c>
      <c r="F235" s="226" t="s">
        <v>10077</v>
      </c>
      <c r="G235" s="226" t="s">
        <v>620</v>
      </c>
      <c r="H235" s="226" t="s">
        <v>10078</v>
      </c>
      <c r="I235" s="238" t="s">
        <v>10079</v>
      </c>
      <c r="J235" s="226" t="s">
        <v>6388</v>
      </c>
      <c r="K235" s="239" t="s">
        <v>10080</v>
      </c>
      <c r="L235" s="198" t="s">
        <v>8706</v>
      </c>
      <c r="M235" s="6" t="s">
        <v>8362</v>
      </c>
      <c r="N235" s="28" t="s">
        <v>620</v>
      </c>
      <c r="O235" s="28" t="s">
        <v>620</v>
      </c>
      <c r="P235" s="28" t="s">
        <v>8860</v>
      </c>
      <c r="Q235" s="198" t="s">
        <v>6610</v>
      </c>
    </row>
    <row r="236" customFormat="false" ht="86.25" hidden="false" customHeight="true" outlineLevel="0" collapsed="false">
      <c r="A236" s="226" t="s">
        <v>8377</v>
      </c>
      <c r="B236" s="226" t="s">
        <v>6391</v>
      </c>
      <c r="C236" s="235" t="s">
        <v>10081</v>
      </c>
      <c r="D236" s="226" t="s">
        <v>10082</v>
      </c>
      <c r="E236" s="226" t="s">
        <v>9851</v>
      </c>
      <c r="F236" s="238" t="s">
        <v>10083</v>
      </c>
      <c r="G236" s="226" t="s">
        <v>620</v>
      </c>
      <c r="H236" s="226" t="s">
        <v>10084</v>
      </c>
      <c r="I236" s="238" t="s">
        <v>10085</v>
      </c>
      <c r="J236" s="226" t="s">
        <v>6388</v>
      </c>
      <c r="K236" s="239" t="s">
        <v>10086</v>
      </c>
      <c r="L236" s="198" t="s">
        <v>8706</v>
      </c>
      <c r="M236" s="6" t="s">
        <v>8370</v>
      </c>
      <c r="N236" s="28" t="s">
        <v>620</v>
      </c>
      <c r="O236" s="28" t="s">
        <v>620</v>
      </c>
      <c r="P236" s="28" t="s">
        <v>8885</v>
      </c>
      <c r="Q236" s="198" t="s">
        <v>6717</v>
      </c>
    </row>
    <row r="237" customFormat="false" ht="86.25" hidden="false" customHeight="true" outlineLevel="0" collapsed="false">
      <c r="A237" s="226" t="s">
        <v>10087</v>
      </c>
      <c r="B237" s="226" t="s">
        <v>6391</v>
      </c>
      <c r="C237" s="235" t="s">
        <v>10088</v>
      </c>
      <c r="D237" s="226" t="s">
        <v>10089</v>
      </c>
      <c r="E237" s="226" t="s">
        <v>9851</v>
      </c>
      <c r="F237" s="238" t="s">
        <v>10090</v>
      </c>
      <c r="G237" s="226" t="s">
        <v>10091</v>
      </c>
      <c r="H237" s="226" t="s">
        <v>10092</v>
      </c>
      <c r="I237" s="238" t="s">
        <v>10093</v>
      </c>
      <c r="J237" s="226" t="s">
        <v>6388</v>
      </c>
      <c r="K237" s="235" t="s">
        <v>10094</v>
      </c>
      <c r="L237" s="198" t="s">
        <v>8706</v>
      </c>
      <c r="M237" s="6" t="s">
        <v>8254</v>
      </c>
      <c r="N237" s="28" t="s">
        <v>620</v>
      </c>
      <c r="O237" s="28" t="s">
        <v>620</v>
      </c>
      <c r="P237" s="28" t="s">
        <v>8885</v>
      </c>
      <c r="Q237" s="198" t="s">
        <v>6610</v>
      </c>
    </row>
    <row r="238" customFormat="false" ht="100.5" hidden="false" customHeight="true" outlineLevel="0" collapsed="false">
      <c r="A238" s="226" t="s">
        <v>8384</v>
      </c>
      <c r="B238" s="226" t="s">
        <v>6391</v>
      </c>
      <c r="C238" s="235" t="s">
        <v>10095</v>
      </c>
      <c r="D238" s="226" t="s">
        <v>10096</v>
      </c>
      <c r="E238" s="226" t="s">
        <v>9716</v>
      </c>
      <c r="F238" s="238" t="s">
        <v>10097</v>
      </c>
      <c r="G238" s="226" t="s">
        <v>10098</v>
      </c>
      <c r="H238" s="226" t="s">
        <v>10099</v>
      </c>
      <c r="I238" s="238" t="s">
        <v>10100</v>
      </c>
      <c r="J238" s="226" t="s">
        <v>6388</v>
      </c>
      <c r="K238" s="239" t="s">
        <v>10101</v>
      </c>
      <c r="L238" s="198" t="s">
        <v>8706</v>
      </c>
      <c r="M238" s="6" t="s">
        <v>10102</v>
      </c>
      <c r="N238" s="28" t="s">
        <v>620</v>
      </c>
      <c r="O238" s="28" t="s">
        <v>620</v>
      </c>
      <c r="P238" s="28" t="s">
        <v>8860</v>
      </c>
      <c r="Q238" s="198" t="s">
        <v>6610</v>
      </c>
    </row>
    <row r="239" customFormat="false" ht="86.25" hidden="false" customHeight="true" outlineLevel="0" collapsed="false">
      <c r="A239" s="226" t="s">
        <v>8391</v>
      </c>
      <c r="B239" s="226" t="s">
        <v>6391</v>
      </c>
      <c r="C239" s="235" t="s">
        <v>10103</v>
      </c>
      <c r="D239" s="226" t="s">
        <v>9850</v>
      </c>
      <c r="E239" s="226" t="s">
        <v>9851</v>
      </c>
      <c r="F239" s="226" t="s">
        <v>10104</v>
      </c>
      <c r="G239" s="226" t="s">
        <v>10105</v>
      </c>
      <c r="H239" s="226" t="s">
        <v>10106</v>
      </c>
      <c r="I239" s="238" t="s">
        <v>10107</v>
      </c>
      <c r="J239" s="226" t="s">
        <v>6388</v>
      </c>
      <c r="K239" s="239" t="s">
        <v>10108</v>
      </c>
      <c r="L239" s="198" t="s">
        <v>8706</v>
      </c>
      <c r="M239" s="6" t="s">
        <v>10109</v>
      </c>
      <c r="N239" s="28" t="s">
        <v>620</v>
      </c>
      <c r="O239" s="28" t="s">
        <v>620</v>
      </c>
      <c r="P239" s="28" t="s">
        <v>8885</v>
      </c>
      <c r="Q239" s="198" t="s">
        <v>6610</v>
      </c>
    </row>
    <row r="240" customFormat="false" ht="86.25" hidden="false" customHeight="true" outlineLevel="0" collapsed="false">
      <c r="A240" s="226" t="s">
        <v>10110</v>
      </c>
      <c r="B240" s="226" t="s">
        <v>6391</v>
      </c>
      <c r="C240" s="235" t="s">
        <v>10111</v>
      </c>
      <c r="D240" s="226" t="s">
        <v>10112</v>
      </c>
      <c r="E240" s="226" t="s">
        <v>10113</v>
      </c>
      <c r="F240" s="226" t="s">
        <v>10114</v>
      </c>
      <c r="G240" s="226" t="s">
        <v>10115</v>
      </c>
      <c r="H240" s="226" t="s">
        <v>10116</v>
      </c>
      <c r="I240" s="238" t="s">
        <v>10117</v>
      </c>
      <c r="J240" s="226" t="s">
        <v>6388</v>
      </c>
      <c r="K240" s="239" t="s">
        <v>10118</v>
      </c>
      <c r="L240" s="198" t="s">
        <v>8706</v>
      </c>
      <c r="M240" s="6" t="s">
        <v>8015</v>
      </c>
      <c r="N240" s="28" t="s">
        <v>620</v>
      </c>
      <c r="O240" s="28" t="s">
        <v>620</v>
      </c>
      <c r="P240" s="28" t="s">
        <v>8860</v>
      </c>
      <c r="Q240" s="198" t="s">
        <v>6610</v>
      </c>
    </row>
    <row r="241" customFormat="false" ht="100.5" hidden="false" customHeight="true" outlineLevel="0" collapsed="false">
      <c r="A241" s="226" t="s">
        <v>8399</v>
      </c>
      <c r="B241" s="226" t="s">
        <v>6391</v>
      </c>
      <c r="C241" s="235" t="s">
        <v>10119</v>
      </c>
      <c r="D241" s="226" t="s">
        <v>10120</v>
      </c>
      <c r="E241" s="226" t="s">
        <v>9716</v>
      </c>
      <c r="F241" s="226" t="s">
        <v>10121</v>
      </c>
      <c r="G241" s="226" t="s">
        <v>10122</v>
      </c>
      <c r="H241" s="226" t="s">
        <v>10123</v>
      </c>
      <c r="I241" s="238" t="s">
        <v>10124</v>
      </c>
      <c r="J241" s="226" t="s">
        <v>6388</v>
      </c>
      <c r="K241" s="239" t="s">
        <v>10125</v>
      </c>
      <c r="L241" s="198" t="s">
        <v>8706</v>
      </c>
      <c r="M241" s="6" t="s">
        <v>10126</v>
      </c>
      <c r="N241" s="28" t="s">
        <v>620</v>
      </c>
      <c r="O241" s="28" t="s">
        <v>10127</v>
      </c>
      <c r="P241" s="28" t="s">
        <v>8860</v>
      </c>
      <c r="Q241" s="198" t="s">
        <v>10128</v>
      </c>
    </row>
    <row r="242" customFormat="false" ht="100.5" hidden="false" customHeight="true" outlineLevel="0" collapsed="false">
      <c r="A242" s="226" t="s">
        <v>10129</v>
      </c>
      <c r="B242" s="226" t="s">
        <v>6391</v>
      </c>
      <c r="C242" s="235" t="s">
        <v>10130</v>
      </c>
      <c r="D242" s="226" t="s">
        <v>10131</v>
      </c>
      <c r="E242" s="226" t="s">
        <v>9716</v>
      </c>
      <c r="F242" s="238" t="s">
        <v>10132</v>
      </c>
      <c r="G242" s="226" t="s">
        <v>620</v>
      </c>
      <c r="H242" s="226" t="s">
        <v>10133</v>
      </c>
      <c r="I242" s="238" t="s">
        <v>10134</v>
      </c>
      <c r="J242" s="226" t="s">
        <v>6388</v>
      </c>
      <c r="K242" s="239" t="s">
        <v>10135</v>
      </c>
      <c r="L242" s="198" t="s">
        <v>8706</v>
      </c>
      <c r="M242" s="6" t="s">
        <v>8394</v>
      </c>
      <c r="N242" s="28" t="s">
        <v>620</v>
      </c>
      <c r="O242" s="28" t="s">
        <v>620</v>
      </c>
      <c r="P242" s="28" t="s">
        <v>8860</v>
      </c>
      <c r="Q242" s="198" t="s">
        <v>6610</v>
      </c>
    </row>
    <row r="243" customFormat="false" ht="86.25" hidden="false" customHeight="true" outlineLevel="0" collapsed="false">
      <c r="A243" s="226" t="s">
        <v>10136</v>
      </c>
      <c r="B243" s="226" t="s">
        <v>6391</v>
      </c>
      <c r="C243" s="235" t="s">
        <v>10137</v>
      </c>
      <c r="D243" s="226" t="s">
        <v>10138</v>
      </c>
      <c r="E243" s="226" t="s">
        <v>10139</v>
      </c>
      <c r="F243" s="226" t="s">
        <v>10056</v>
      </c>
      <c r="G243" s="226" t="s">
        <v>620</v>
      </c>
      <c r="H243" s="226" t="s">
        <v>10140</v>
      </c>
      <c r="I243" s="238" t="s">
        <v>10141</v>
      </c>
      <c r="J243" s="226" t="s">
        <v>6388</v>
      </c>
      <c r="K243" s="239" t="s">
        <v>10142</v>
      </c>
      <c r="L243" s="198" t="s">
        <v>8706</v>
      </c>
      <c r="M243" s="6" t="s">
        <v>620</v>
      </c>
      <c r="N243" s="28" t="s">
        <v>620</v>
      </c>
      <c r="O243" s="28" t="s">
        <v>620</v>
      </c>
      <c r="P243" s="28" t="s">
        <v>8836</v>
      </c>
      <c r="Q243" s="198" t="s">
        <v>6717</v>
      </c>
    </row>
    <row r="244" customFormat="false" ht="86.25" hidden="false" customHeight="true" outlineLevel="0" collapsed="false">
      <c r="A244" s="226" t="s">
        <v>10143</v>
      </c>
      <c r="B244" s="226" t="s">
        <v>6391</v>
      </c>
      <c r="C244" s="235" t="s">
        <v>10144</v>
      </c>
      <c r="D244" s="226" t="s">
        <v>10145</v>
      </c>
      <c r="E244" s="226" t="s">
        <v>10139</v>
      </c>
      <c r="F244" s="226" t="s">
        <v>10146</v>
      </c>
      <c r="G244" s="226" t="s">
        <v>620</v>
      </c>
      <c r="H244" s="226" t="s">
        <v>10147</v>
      </c>
      <c r="I244" s="238" t="s">
        <v>10148</v>
      </c>
      <c r="J244" s="226" t="s">
        <v>6388</v>
      </c>
      <c r="K244" s="239" t="s">
        <v>10149</v>
      </c>
      <c r="L244" s="198" t="s">
        <v>8706</v>
      </c>
      <c r="M244" s="6" t="s">
        <v>620</v>
      </c>
      <c r="N244" s="28" t="s">
        <v>620</v>
      </c>
      <c r="O244" s="28" t="s">
        <v>620</v>
      </c>
      <c r="P244" s="28" t="s">
        <v>8836</v>
      </c>
      <c r="Q244" s="198" t="s">
        <v>6717</v>
      </c>
    </row>
    <row r="245" customFormat="false" ht="86.25" hidden="false" customHeight="true" outlineLevel="0" collapsed="false">
      <c r="A245" s="226" t="s">
        <v>8406</v>
      </c>
      <c r="B245" s="226" t="s">
        <v>6391</v>
      </c>
      <c r="C245" s="235" t="s">
        <v>10150</v>
      </c>
      <c r="D245" s="226" t="s">
        <v>10151</v>
      </c>
      <c r="E245" s="226" t="s">
        <v>9886</v>
      </c>
      <c r="F245" s="238" t="s">
        <v>10152</v>
      </c>
      <c r="G245" s="226" t="s">
        <v>620</v>
      </c>
      <c r="H245" s="226" t="s">
        <v>10153</v>
      </c>
      <c r="I245" s="238" t="s">
        <v>10154</v>
      </c>
      <c r="J245" s="226" t="s">
        <v>6388</v>
      </c>
      <c r="K245" s="235" t="s">
        <v>10155</v>
      </c>
      <c r="L245" s="198" t="s">
        <v>8706</v>
      </c>
      <c r="M245" s="6" t="s">
        <v>10156</v>
      </c>
      <c r="N245" s="28" t="s">
        <v>620</v>
      </c>
      <c r="O245" s="28" t="s">
        <v>620</v>
      </c>
      <c r="P245" s="28" t="s">
        <v>9891</v>
      </c>
      <c r="Q245" s="198" t="s">
        <v>6610</v>
      </c>
    </row>
    <row r="246" customFormat="false" ht="86.25" hidden="false" customHeight="true" outlineLevel="0" collapsed="false">
      <c r="A246" s="226" t="s">
        <v>10157</v>
      </c>
      <c r="B246" s="226" t="s">
        <v>6391</v>
      </c>
      <c r="C246" s="235" t="s">
        <v>10158</v>
      </c>
      <c r="D246" s="226" t="s">
        <v>10159</v>
      </c>
      <c r="E246" s="226" t="s">
        <v>10160</v>
      </c>
      <c r="F246" s="238" t="s">
        <v>10161</v>
      </c>
      <c r="G246" s="226" t="s">
        <v>620</v>
      </c>
      <c r="H246" s="226" t="s">
        <v>10162</v>
      </c>
      <c r="I246" s="238" t="s">
        <v>10163</v>
      </c>
      <c r="J246" s="226" t="s">
        <v>6388</v>
      </c>
      <c r="K246" s="235" t="s">
        <v>10164</v>
      </c>
      <c r="L246" s="198" t="s">
        <v>8706</v>
      </c>
      <c r="M246" s="6" t="s">
        <v>620</v>
      </c>
      <c r="N246" s="28" t="s">
        <v>620</v>
      </c>
      <c r="O246" s="28" t="s">
        <v>620</v>
      </c>
      <c r="P246" s="28" t="s">
        <v>8860</v>
      </c>
      <c r="Q246" s="198" t="s">
        <v>10074</v>
      </c>
    </row>
    <row r="247" customFormat="false" ht="86.25" hidden="false" customHeight="true" outlineLevel="0" collapsed="false">
      <c r="A247" s="226" t="s">
        <v>10165</v>
      </c>
      <c r="B247" s="226" t="s">
        <v>6391</v>
      </c>
      <c r="C247" s="235" t="s">
        <v>10166</v>
      </c>
      <c r="D247" s="238" t="s">
        <v>10167</v>
      </c>
      <c r="E247" s="226" t="s">
        <v>620</v>
      </c>
      <c r="F247" s="226" t="s">
        <v>10168</v>
      </c>
      <c r="G247" s="226" t="s">
        <v>10169</v>
      </c>
      <c r="H247" s="238" t="s">
        <v>10170</v>
      </c>
      <c r="I247" s="238" t="s">
        <v>10171</v>
      </c>
      <c r="J247" s="226" t="s">
        <v>6388</v>
      </c>
      <c r="K247" s="239" t="s">
        <v>10172</v>
      </c>
      <c r="L247" s="198" t="s">
        <v>8706</v>
      </c>
      <c r="M247" s="6" t="s">
        <v>620</v>
      </c>
      <c r="N247" s="28" t="s">
        <v>620</v>
      </c>
      <c r="O247" s="28" t="s">
        <v>620</v>
      </c>
      <c r="P247" s="28" t="s">
        <v>620</v>
      </c>
      <c r="Q247" s="28" t="s">
        <v>620</v>
      </c>
    </row>
    <row r="248" customFormat="false" ht="86.25" hidden="false" customHeight="true" outlineLevel="0" collapsed="false">
      <c r="A248" s="226" t="s">
        <v>10173</v>
      </c>
      <c r="B248" s="226" t="s">
        <v>6391</v>
      </c>
      <c r="C248" s="239" t="s">
        <v>10174</v>
      </c>
      <c r="D248" s="226" t="s">
        <v>10175</v>
      </c>
      <c r="E248" s="226" t="s">
        <v>620</v>
      </c>
      <c r="F248" s="226" t="s">
        <v>10176</v>
      </c>
      <c r="G248" s="226" t="s">
        <v>620</v>
      </c>
      <c r="H248" s="226" t="s">
        <v>620</v>
      </c>
      <c r="I248" s="238" t="s">
        <v>10177</v>
      </c>
      <c r="J248" s="226" t="s">
        <v>6388</v>
      </c>
      <c r="K248" s="239" t="s">
        <v>10178</v>
      </c>
      <c r="L248" s="198" t="s">
        <v>8706</v>
      </c>
      <c r="M248" s="6" t="s">
        <v>620</v>
      </c>
      <c r="N248" s="28" t="s">
        <v>620</v>
      </c>
      <c r="O248" s="28" t="s">
        <v>620</v>
      </c>
      <c r="P248" s="28" t="s">
        <v>620</v>
      </c>
      <c r="Q248" s="28" t="s">
        <v>620</v>
      </c>
    </row>
    <row r="249" customFormat="false" ht="114.75" hidden="false" customHeight="true" outlineLevel="0" collapsed="false">
      <c r="A249" s="226" t="s">
        <v>8432</v>
      </c>
      <c r="B249" s="226" t="s">
        <v>6431</v>
      </c>
      <c r="C249" s="235" t="s">
        <v>10179</v>
      </c>
      <c r="D249" s="226" t="s">
        <v>10180</v>
      </c>
      <c r="E249" s="226" t="s">
        <v>10181</v>
      </c>
      <c r="F249" s="226" t="s">
        <v>10182</v>
      </c>
      <c r="G249" s="226" t="s">
        <v>620</v>
      </c>
      <c r="H249" s="226" t="s">
        <v>10183</v>
      </c>
      <c r="I249" s="238" t="s">
        <v>10184</v>
      </c>
      <c r="J249" s="226" t="s">
        <v>6428</v>
      </c>
      <c r="K249" s="239" t="s">
        <v>10185</v>
      </c>
      <c r="L249" s="198" t="s">
        <v>8706</v>
      </c>
      <c r="M249" s="6" t="s">
        <v>8429</v>
      </c>
      <c r="N249" s="28" t="s">
        <v>620</v>
      </c>
      <c r="O249" s="28" t="s">
        <v>620</v>
      </c>
      <c r="P249" s="28" t="s">
        <v>8860</v>
      </c>
      <c r="Q249" s="198" t="s">
        <v>6610</v>
      </c>
    </row>
    <row r="250" customFormat="false" ht="114.75" hidden="false" customHeight="true" outlineLevel="0" collapsed="false">
      <c r="A250" s="226" t="s">
        <v>10186</v>
      </c>
      <c r="B250" s="226" t="s">
        <v>6431</v>
      </c>
      <c r="C250" s="235" t="s">
        <v>10187</v>
      </c>
      <c r="D250" s="226" t="s">
        <v>10188</v>
      </c>
      <c r="E250" s="226" t="s">
        <v>10181</v>
      </c>
      <c r="F250" s="226" t="s">
        <v>10189</v>
      </c>
      <c r="G250" s="226" t="s">
        <v>10190</v>
      </c>
      <c r="H250" s="226" t="s">
        <v>10191</v>
      </c>
      <c r="I250" s="238" t="s">
        <v>10192</v>
      </c>
      <c r="J250" s="226" t="s">
        <v>6428</v>
      </c>
      <c r="K250" s="239" t="s">
        <v>10193</v>
      </c>
      <c r="L250" s="198" t="s">
        <v>8706</v>
      </c>
      <c r="M250" s="6" t="s">
        <v>5664</v>
      </c>
      <c r="N250" s="28" t="s">
        <v>620</v>
      </c>
      <c r="O250" s="28" t="s">
        <v>620</v>
      </c>
      <c r="P250" s="28" t="s">
        <v>8860</v>
      </c>
      <c r="Q250" s="198" t="s">
        <v>6610</v>
      </c>
    </row>
    <row r="251" customFormat="false" ht="114.75" hidden="false" customHeight="true" outlineLevel="0" collapsed="false">
      <c r="A251" s="226" t="s">
        <v>8441</v>
      </c>
      <c r="B251" s="226" t="s">
        <v>6431</v>
      </c>
      <c r="C251" s="235" t="s">
        <v>10194</v>
      </c>
      <c r="D251" s="226" t="s">
        <v>10195</v>
      </c>
      <c r="E251" s="226" t="s">
        <v>10196</v>
      </c>
      <c r="F251" s="226" t="s">
        <v>10197</v>
      </c>
      <c r="G251" s="226" t="s">
        <v>10198</v>
      </c>
      <c r="H251" s="226" t="s">
        <v>10199</v>
      </c>
      <c r="I251" s="238" t="s">
        <v>10200</v>
      </c>
      <c r="J251" s="226" t="s">
        <v>6428</v>
      </c>
      <c r="K251" s="239" t="s">
        <v>10201</v>
      </c>
      <c r="L251" s="198" t="s">
        <v>8706</v>
      </c>
      <c r="M251" s="6" t="s">
        <v>8436</v>
      </c>
      <c r="N251" s="28" t="s">
        <v>620</v>
      </c>
      <c r="O251" s="28" t="s">
        <v>620</v>
      </c>
      <c r="P251" s="28" t="s">
        <v>8836</v>
      </c>
      <c r="Q251" s="198" t="s">
        <v>6610</v>
      </c>
    </row>
    <row r="252" customFormat="false" ht="114.75" hidden="false" customHeight="true" outlineLevel="0" collapsed="false">
      <c r="A252" s="226" t="s">
        <v>8448</v>
      </c>
      <c r="B252" s="226" t="s">
        <v>6431</v>
      </c>
      <c r="C252" s="235" t="s">
        <v>10202</v>
      </c>
      <c r="D252" s="226" t="s">
        <v>10203</v>
      </c>
      <c r="E252" s="238" t="s">
        <v>10204</v>
      </c>
      <c r="F252" s="226" t="s">
        <v>10205</v>
      </c>
      <c r="G252" s="226" t="s">
        <v>10206</v>
      </c>
      <c r="H252" s="226" t="s">
        <v>10207</v>
      </c>
      <c r="I252" s="238" t="s">
        <v>10208</v>
      </c>
      <c r="J252" s="226" t="s">
        <v>6428</v>
      </c>
      <c r="K252" s="239" t="s">
        <v>10209</v>
      </c>
      <c r="L252" s="198" t="s">
        <v>8706</v>
      </c>
      <c r="M252" s="6" t="s">
        <v>5619</v>
      </c>
      <c r="N252" s="28" t="s">
        <v>620</v>
      </c>
      <c r="O252" s="28" t="s">
        <v>10210</v>
      </c>
      <c r="P252" s="28" t="s">
        <v>8836</v>
      </c>
      <c r="Q252" s="198" t="s">
        <v>6610</v>
      </c>
    </row>
    <row r="253" customFormat="false" ht="114.75" hidden="false" customHeight="true" outlineLevel="0" collapsed="false">
      <c r="A253" s="226" t="s">
        <v>10211</v>
      </c>
      <c r="B253" s="226" t="s">
        <v>6431</v>
      </c>
      <c r="C253" s="235" t="s">
        <v>10212</v>
      </c>
      <c r="D253" s="226" t="s">
        <v>10213</v>
      </c>
      <c r="E253" s="226" t="s">
        <v>9716</v>
      </c>
      <c r="F253" s="226" t="s">
        <v>10214</v>
      </c>
      <c r="G253" s="226" t="s">
        <v>620</v>
      </c>
      <c r="H253" s="238" t="s">
        <v>10215</v>
      </c>
      <c r="I253" s="238" t="s">
        <v>10216</v>
      </c>
      <c r="J253" s="226" t="s">
        <v>6428</v>
      </c>
      <c r="K253" s="239" t="s">
        <v>10217</v>
      </c>
      <c r="L253" s="198" t="s">
        <v>8706</v>
      </c>
      <c r="M253" s="6" t="s">
        <v>5671</v>
      </c>
      <c r="N253" s="28" t="s">
        <v>620</v>
      </c>
      <c r="O253" s="28" t="s">
        <v>620</v>
      </c>
      <c r="P253" s="28" t="s">
        <v>8860</v>
      </c>
      <c r="Q253" s="198" t="s">
        <v>6610</v>
      </c>
    </row>
    <row r="254" customFormat="false" ht="129" hidden="false" customHeight="true" outlineLevel="0" collapsed="false">
      <c r="A254" s="226" t="s">
        <v>10218</v>
      </c>
      <c r="B254" s="226" t="s">
        <v>6431</v>
      </c>
      <c r="C254" s="235" t="s">
        <v>10219</v>
      </c>
      <c r="D254" s="226" t="s">
        <v>10220</v>
      </c>
      <c r="E254" s="226" t="s">
        <v>10221</v>
      </c>
      <c r="F254" s="226" t="s">
        <v>10222</v>
      </c>
      <c r="G254" s="226" t="s">
        <v>620</v>
      </c>
      <c r="H254" s="226" t="s">
        <v>10223</v>
      </c>
      <c r="I254" s="238" t="s">
        <v>10224</v>
      </c>
      <c r="J254" s="226" t="s">
        <v>6428</v>
      </c>
      <c r="K254" s="239" t="s">
        <v>10225</v>
      </c>
      <c r="L254" s="198" t="s">
        <v>8706</v>
      </c>
      <c r="M254" s="6" t="s">
        <v>620</v>
      </c>
      <c r="N254" s="28" t="s">
        <v>620</v>
      </c>
      <c r="O254" s="28" t="s">
        <v>620</v>
      </c>
      <c r="P254" s="28" t="s">
        <v>8836</v>
      </c>
      <c r="Q254" s="198" t="s">
        <v>6610</v>
      </c>
    </row>
    <row r="255" customFormat="false" ht="114.75" hidden="false" customHeight="true" outlineLevel="0" collapsed="false">
      <c r="A255" s="226" t="s">
        <v>10226</v>
      </c>
      <c r="B255" s="226" t="s">
        <v>6431</v>
      </c>
      <c r="C255" s="235" t="s">
        <v>10227</v>
      </c>
      <c r="D255" s="238" t="s">
        <v>10228</v>
      </c>
      <c r="E255" s="238" t="s">
        <v>10229</v>
      </c>
      <c r="F255" s="238" t="s">
        <v>10230</v>
      </c>
      <c r="G255" s="226" t="s">
        <v>620</v>
      </c>
      <c r="H255" s="226" t="s">
        <v>10231</v>
      </c>
      <c r="I255" s="238" t="s">
        <v>10232</v>
      </c>
      <c r="J255" s="226" t="s">
        <v>6428</v>
      </c>
      <c r="K255" s="239" t="s">
        <v>10233</v>
      </c>
      <c r="L255" s="198" t="s">
        <v>8706</v>
      </c>
      <c r="M255" s="6" t="s">
        <v>620</v>
      </c>
      <c r="N255" s="28" t="s">
        <v>620</v>
      </c>
      <c r="O255" s="28" t="s">
        <v>620</v>
      </c>
      <c r="P255" s="28" t="s">
        <v>8836</v>
      </c>
      <c r="Q255" s="198" t="s">
        <v>10234</v>
      </c>
    </row>
    <row r="256" customFormat="false" ht="114.75" hidden="false" customHeight="true" outlineLevel="0" collapsed="false">
      <c r="A256" s="226" t="s">
        <v>10235</v>
      </c>
      <c r="B256" s="226" t="s">
        <v>6431</v>
      </c>
      <c r="C256" s="235" t="s">
        <v>10236</v>
      </c>
      <c r="D256" s="226" t="s">
        <v>10237</v>
      </c>
      <c r="E256" s="226" t="s">
        <v>9716</v>
      </c>
      <c r="F256" s="226" t="s">
        <v>10238</v>
      </c>
      <c r="G256" s="226" t="s">
        <v>10239</v>
      </c>
      <c r="H256" s="226" t="s">
        <v>10240</v>
      </c>
      <c r="I256" s="238" t="s">
        <v>10241</v>
      </c>
      <c r="J256" s="226" t="s">
        <v>6428</v>
      </c>
      <c r="K256" s="239" t="s">
        <v>10242</v>
      </c>
      <c r="L256" s="198" t="s">
        <v>8706</v>
      </c>
      <c r="M256" s="6" t="s">
        <v>8380</v>
      </c>
      <c r="N256" s="28" t="s">
        <v>620</v>
      </c>
      <c r="O256" s="28" t="s">
        <v>620</v>
      </c>
      <c r="P256" s="28" t="s">
        <v>8860</v>
      </c>
      <c r="Q256" s="198" t="s">
        <v>6610</v>
      </c>
    </row>
    <row r="257" customFormat="false" ht="114.75" hidden="false" customHeight="true" outlineLevel="0" collapsed="false">
      <c r="A257" s="226" t="s">
        <v>10243</v>
      </c>
      <c r="B257" s="226" t="s">
        <v>6431</v>
      </c>
      <c r="C257" s="239" t="s">
        <v>10244</v>
      </c>
      <c r="D257" s="226" t="s">
        <v>10245</v>
      </c>
      <c r="E257" s="226" t="s">
        <v>10246</v>
      </c>
      <c r="F257" s="226" t="s">
        <v>10247</v>
      </c>
      <c r="G257" s="226" t="s">
        <v>10248</v>
      </c>
      <c r="H257" s="226" t="s">
        <v>10249</v>
      </c>
      <c r="I257" s="238" t="s">
        <v>10250</v>
      </c>
      <c r="J257" s="226" t="s">
        <v>6428</v>
      </c>
      <c r="K257" s="239" t="s">
        <v>10251</v>
      </c>
      <c r="L257" s="198" t="s">
        <v>8706</v>
      </c>
      <c r="M257" s="6" t="s">
        <v>620</v>
      </c>
      <c r="N257" s="28" t="s">
        <v>620</v>
      </c>
      <c r="O257" s="28" t="s">
        <v>10252</v>
      </c>
      <c r="P257" s="28" t="s">
        <v>8836</v>
      </c>
      <c r="Q257" s="198" t="s">
        <v>6610</v>
      </c>
    </row>
    <row r="258" customFormat="false" ht="114.75" hidden="false" customHeight="true" outlineLevel="0" collapsed="false">
      <c r="A258" s="226" t="s">
        <v>10253</v>
      </c>
      <c r="B258" s="226" t="s">
        <v>6431</v>
      </c>
      <c r="C258" s="235" t="s">
        <v>10254</v>
      </c>
      <c r="D258" s="238" t="s">
        <v>10255</v>
      </c>
      <c r="E258" s="226" t="s">
        <v>620</v>
      </c>
      <c r="F258" s="238" t="s">
        <v>10256</v>
      </c>
      <c r="G258" s="226" t="s">
        <v>620</v>
      </c>
      <c r="H258" s="238" t="s">
        <v>10170</v>
      </c>
      <c r="I258" s="238" t="s">
        <v>10257</v>
      </c>
      <c r="J258" s="226" t="s">
        <v>6428</v>
      </c>
      <c r="K258" s="239" t="s">
        <v>10258</v>
      </c>
      <c r="L258" s="198" t="s">
        <v>8706</v>
      </c>
      <c r="M258" s="6" t="s">
        <v>620</v>
      </c>
      <c r="N258" s="28" t="s">
        <v>620</v>
      </c>
      <c r="O258" s="28" t="s">
        <v>620</v>
      </c>
      <c r="P258" s="28" t="s">
        <v>620</v>
      </c>
      <c r="Q258" s="28" t="s">
        <v>620</v>
      </c>
    </row>
    <row r="259" customFormat="false" ht="114.75" hidden="false" customHeight="true" outlineLevel="0" collapsed="false">
      <c r="A259" s="226" t="s">
        <v>10259</v>
      </c>
      <c r="B259" s="226" t="s">
        <v>6431</v>
      </c>
      <c r="C259" s="239" t="s">
        <v>10260</v>
      </c>
      <c r="D259" s="238" t="s">
        <v>10261</v>
      </c>
      <c r="E259" s="226" t="s">
        <v>620</v>
      </c>
      <c r="F259" s="238" t="s">
        <v>10262</v>
      </c>
      <c r="G259" s="226" t="s">
        <v>620</v>
      </c>
      <c r="H259" s="238" t="s">
        <v>10170</v>
      </c>
      <c r="I259" s="238" t="s">
        <v>10263</v>
      </c>
      <c r="J259" s="226" t="s">
        <v>6428</v>
      </c>
      <c r="K259" s="239" t="s">
        <v>10264</v>
      </c>
      <c r="L259" s="198" t="s">
        <v>8706</v>
      </c>
      <c r="M259" s="6" t="s">
        <v>8254</v>
      </c>
      <c r="N259" s="28" t="s">
        <v>620</v>
      </c>
      <c r="O259" s="28" t="s">
        <v>620</v>
      </c>
      <c r="P259" s="28" t="s">
        <v>620</v>
      </c>
      <c r="Q259" s="28" t="s">
        <v>620</v>
      </c>
    </row>
    <row r="260" customFormat="false" ht="114.75" hidden="false" customHeight="true" outlineLevel="0" collapsed="false">
      <c r="A260" s="226" t="s">
        <v>10265</v>
      </c>
      <c r="B260" s="226" t="s">
        <v>6431</v>
      </c>
      <c r="C260" s="235" t="s">
        <v>10266</v>
      </c>
      <c r="D260" s="238" t="s">
        <v>10267</v>
      </c>
      <c r="E260" s="226" t="s">
        <v>10268</v>
      </c>
      <c r="F260" s="226" t="s">
        <v>10269</v>
      </c>
      <c r="G260" s="226" t="s">
        <v>620</v>
      </c>
      <c r="H260" s="238" t="s">
        <v>10270</v>
      </c>
      <c r="I260" s="238" t="s">
        <v>10271</v>
      </c>
      <c r="J260" s="226" t="s">
        <v>6428</v>
      </c>
      <c r="K260" s="239" t="s">
        <v>10272</v>
      </c>
      <c r="L260" s="198" t="s">
        <v>8706</v>
      </c>
      <c r="M260" s="6" t="s">
        <v>620</v>
      </c>
      <c r="N260" s="28" t="s">
        <v>620</v>
      </c>
      <c r="O260" s="28" t="s">
        <v>10273</v>
      </c>
      <c r="P260" s="28" t="s">
        <v>620</v>
      </c>
      <c r="Q260" s="198" t="s">
        <v>6717</v>
      </c>
    </row>
    <row r="261" customFormat="false" ht="114.75" hidden="false" customHeight="true" outlineLevel="0" collapsed="false">
      <c r="A261" s="226" t="s">
        <v>10274</v>
      </c>
      <c r="B261" s="226" t="s">
        <v>6431</v>
      </c>
      <c r="C261" s="235" t="s">
        <v>10275</v>
      </c>
      <c r="D261" s="226" t="s">
        <v>10276</v>
      </c>
      <c r="E261" s="226" t="s">
        <v>10277</v>
      </c>
      <c r="F261" s="226" t="s">
        <v>10278</v>
      </c>
      <c r="G261" s="226" t="s">
        <v>10279</v>
      </c>
      <c r="H261" s="226" t="s">
        <v>10280</v>
      </c>
      <c r="I261" s="238" t="s">
        <v>10281</v>
      </c>
      <c r="J261" s="226" t="s">
        <v>6428</v>
      </c>
      <c r="K261" s="239" t="s">
        <v>10282</v>
      </c>
      <c r="L261" s="198" t="s">
        <v>8706</v>
      </c>
      <c r="M261" s="6" t="s">
        <v>10283</v>
      </c>
      <c r="N261" s="28" t="s">
        <v>620</v>
      </c>
      <c r="O261" s="28" t="s">
        <v>620</v>
      </c>
      <c r="P261" s="28" t="s">
        <v>8860</v>
      </c>
      <c r="Q261" s="198" t="s">
        <v>6610</v>
      </c>
    </row>
    <row r="262" customFormat="false" ht="114.75" hidden="false" customHeight="true" outlineLevel="0" collapsed="false">
      <c r="A262" s="226" t="s">
        <v>10284</v>
      </c>
      <c r="B262" s="226" t="s">
        <v>6431</v>
      </c>
      <c r="C262" s="235" t="s">
        <v>10285</v>
      </c>
      <c r="D262" s="226" t="s">
        <v>10286</v>
      </c>
      <c r="E262" s="238" t="s">
        <v>10287</v>
      </c>
      <c r="F262" s="226" t="s">
        <v>10288</v>
      </c>
      <c r="G262" s="226" t="s">
        <v>620</v>
      </c>
      <c r="H262" s="238" t="s">
        <v>10289</v>
      </c>
      <c r="I262" s="238" t="s">
        <v>10290</v>
      </c>
      <c r="J262" s="226" t="s">
        <v>6462</v>
      </c>
      <c r="K262" s="239" t="s">
        <v>10291</v>
      </c>
      <c r="L262" s="198" t="s">
        <v>8706</v>
      </c>
      <c r="M262" s="6" t="s">
        <v>10292</v>
      </c>
      <c r="N262" s="28" t="s">
        <v>620</v>
      </c>
      <c r="O262" s="28" t="s">
        <v>10293</v>
      </c>
      <c r="P262" s="28" t="s">
        <v>8836</v>
      </c>
      <c r="Q262" s="198" t="s">
        <v>6610</v>
      </c>
    </row>
    <row r="263" customFormat="false" ht="114.75" hidden="false" customHeight="true" outlineLevel="0" collapsed="false">
      <c r="A263" s="226" t="s">
        <v>10294</v>
      </c>
      <c r="B263" s="226" t="s">
        <v>6431</v>
      </c>
      <c r="C263" s="235" t="s">
        <v>10295</v>
      </c>
      <c r="D263" s="226" t="s">
        <v>10296</v>
      </c>
      <c r="E263" s="238" t="s">
        <v>10297</v>
      </c>
      <c r="F263" s="226" t="s">
        <v>10298</v>
      </c>
      <c r="G263" s="226" t="s">
        <v>620</v>
      </c>
      <c r="H263" s="238" t="s">
        <v>10299</v>
      </c>
      <c r="I263" s="238" t="s">
        <v>10300</v>
      </c>
      <c r="J263" s="226" t="s">
        <v>6462</v>
      </c>
      <c r="K263" s="235" t="s">
        <v>10301</v>
      </c>
      <c r="L263" s="198" t="s">
        <v>8706</v>
      </c>
      <c r="M263" s="6" t="s">
        <v>620</v>
      </c>
      <c r="N263" s="28" t="s">
        <v>620</v>
      </c>
      <c r="O263" s="28" t="s">
        <v>10293</v>
      </c>
      <c r="P263" s="28" t="s">
        <v>8836</v>
      </c>
      <c r="Q263" s="198" t="s">
        <v>6610</v>
      </c>
    </row>
    <row r="264" customFormat="false" ht="114.75" hidden="false" customHeight="true" outlineLevel="0" collapsed="false">
      <c r="A264" s="226" t="s">
        <v>10302</v>
      </c>
      <c r="B264" s="226" t="s">
        <v>6431</v>
      </c>
      <c r="C264" s="235" t="s">
        <v>10303</v>
      </c>
      <c r="D264" s="226" t="s">
        <v>10304</v>
      </c>
      <c r="E264" s="238" t="s">
        <v>10305</v>
      </c>
      <c r="F264" s="226" t="s">
        <v>10306</v>
      </c>
      <c r="G264" s="226" t="s">
        <v>620</v>
      </c>
      <c r="H264" s="238" t="s">
        <v>10289</v>
      </c>
      <c r="I264" s="238" t="s">
        <v>10307</v>
      </c>
      <c r="J264" s="226" t="s">
        <v>6462</v>
      </c>
      <c r="K264" s="239" t="s">
        <v>10308</v>
      </c>
      <c r="L264" s="198" t="s">
        <v>8706</v>
      </c>
      <c r="M264" s="6" t="s">
        <v>620</v>
      </c>
      <c r="N264" s="28" t="s">
        <v>620</v>
      </c>
      <c r="O264" s="28" t="s">
        <v>10293</v>
      </c>
      <c r="P264" s="28" t="s">
        <v>8836</v>
      </c>
      <c r="Q264" s="198" t="s">
        <v>10234</v>
      </c>
    </row>
    <row r="265" customFormat="false" ht="114.75" hidden="false" customHeight="true" outlineLevel="0" collapsed="false">
      <c r="A265" s="226" t="s">
        <v>10309</v>
      </c>
      <c r="B265" s="226" t="s">
        <v>6431</v>
      </c>
      <c r="C265" s="235" t="s">
        <v>10310</v>
      </c>
      <c r="D265" s="238" t="s">
        <v>10311</v>
      </c>
      <c r="E265" s="226" t="s">
        <v>10268</v>
      </c>
      <c r="F265" s="226" t="s">
        <v>10312</v>
      </c>
      <c r="G265" s="226" t="s">
        <v>620</v>
      </c>
      <c r="H265" s="226" t="s">
        <v>10313</v>
      </c>
      <c r="I265" s="238" t="s">
        <v>10314</v>
      </c>
      <c r="J265" s="226" t="s">
        <v>6462</v>
      </c>
      <c r="K265" s="239" t="s">
        <v>10315</v>
      </c>
      <c r="L265" s="198" t="s">
        <v>8706</v>
      </c>
      <c r="M265" s="6" t="s">
        <v>620</v>
      </c>
      <c r="N265" s="28" t="s">
        <v>620</v>
      </c>
      <c r="O265" s="28" t="s">
        <v>10293</v>
      </c>
      <c r="P265" s="28" t="s">
        <v>620</v>
      </c>
      <c r="Q265" s="198" t="s">
        <v>6717</v>
      </c>
    </row>
    <row r="266" customFormat="false" ht="114.75" hidden="false" customHeight="true" outlineLevel="0" collapsed="false">
      <c r="A266" s="226" t="s">
        <v>10316</v>
      </c>
      <c r="B266" s="226" t="s">
        <v>6431</v>
      </c>
      <c r="C266" s="235" t="s">
        <v>10317</v>
      </c>
      <c r="D266" s="238" t="s">
        <v>10318</v>
      </c>
      <c r="E266" s="226" t="s">
        <v>10268</v>
      </c>
      <c r="F266" s="226" t="s">
        <v>10319</v>
      </c>
      <c r="G266" s="226" t="s">
        <v>620</v>
      </c>
      <c r="H266" s="238" t="s">
        <v>10320</v>
      </c>
      <c r="I266" s="238" t="s">
        <v>10321</v>
      </c>
      <c r="J266" s="226" t="s">
        <v>6462</v>
      </c>
      <c r="K266" s="239" t="s">
        <v>10322</v>
      </c>
      <c r="L266" s="198" t="s">
        <v>8706</v>
      </c>
      <c r="M266" s="6" t="s">
        <v>620</v>
      </c>
      <c r="N266" s="28" t="s">
        <v>620</v>
      </c>
      <c r="O266" s="28" t="s">
        <v>10293</v>
      </c>
      <c r="P266" s="28" t="s">
        <v>620</v>
      </c>
      <c r="Q266" s="198" t="s">
        <v>6717</v>
      </c>
    </row>
    <row r="267" customFormat="false" ht="114.75" hidden="false" customHeight="true" outlineLevel="0" collapsed="false">
      <c r="A267" s="226" t="s">
        <v>8455</v>
      </c>
      <c r="B267" s="226" t="s">
        <v>6431</v>
      </c>
      <c r="C267" s="235" t="s">
        <v>10323</v>
      </c>
      <c r="D267" s="226" t="s">
        <v>10324</v>
      </c>
      <c r="E267" s="226" t="s">
        <v>10181</v>
      </c>
      <c r="F267" s="226" t="s">
        <v>10325</v>
      </c>
      <c r="G267" s="226" t="s">
        <v>10326</v>
      </c>
      <c r="H267" s="226" t="s">
        <v>10327</v>
      </c>
      <c r="I267" s="238" t="s">
        <v>10328</v>
      </c>
      <c r="J267" s="226" t="s">
        <v>6462</v>
      </c>
      <c r="K267" s="239" t="s">
        <v>10329</v>
      </c>
      <c r="L267" s="198" t="s">
        <v>8706</v>
      </c>
      <c r="M267" s="6" t="s">
        <v>5740</v>
      </c>
      <c r="N267" s="28" t="s">
        <v>620</v>
      </c>
      <c r="O267" s="28" t="s">
        <v>620</v>
      </c>
      <c r="P267" s="28" t="s">
        <v>8860</v>
      </c>
      <c r="Q267" s="198" t="s">
        <v>6610</v>
      </c>
    </row>
    <row r="268" customFormat="false" ht="114.75" hidden="false" customHeight="true" outlineLevel="0" collapsed="false">
      <c r="A268" s="226" t="s">
        <v>10330</v>
      </c>
      <c r="B268" s="226" t="s">
        <v>6482</v>
      </c>
      <c r="C268" s="235" t="s">
        <v>10331</v>
      </c>
      <c r="D268" s="226" t="s">
        <v>10332</v>
      </c>
      <c r="E268" s="238" t="s">
        <v>10333</v>
      </c>
      <c r="F268" s="226" t="s">
        <v>10334</v>
      </c>
      <c r="G268" s="226" t="s">
        <v>620</v>
      </c>
      <c r="H268" s="226" t="s">
        <v>620</v>
      </c>
      <c r="I268" s="238" t="s">
        <v>10335</v>
      </c>
      <c r="J268" s="226" t="s">
        <v>6479</v>
      </c>
      <c r="K268" s="239" t="s">
        <v>10336</v>
      </c>
      <c r="L268" s="198" t="s">
        <v>8706</v>
      </c>
      <c r="M268" s="6" t="s">
        <v>620</v>
      </c>
      <c r="N268" s="28" t="s">
        <v>620</v>
      </c>
      <c r="O268" s="28" t="s">
        <v>620</v>
      </c>
      <c r="P268" s="28" t="s">
        <v>620</v>
      </c>
      <c r="Q268" s="198" t="s">
        <v>6717</v>
      </c>
    </row>
    <row r="269" customFormat="false" ht="100.5" hidden="false" customHeight="true" outlineLevel="0" collapsed="false">
      <c r="A269" s="226" t="s">
        <v>10337</v>
      </c>
      <c r="B269" s="226" t="s">
        <v>6482</v>
      </c>
      <c r="C269" s="235" t="s">
        <v>10338</v>
      </c>
      <c r="D269" s="226" t="s">
        <v>10339</v>
      </c>
      <c r="E269" s="226" t="s">
        <v>10340</v>
      </c>
      <c r="F269" s="226" t="s">
        <v>10341</v>
      </c>
      <c r="G269" s="226" t="s">
        <v>620</v>
      </c>
      <c r="H269" s="226" t="s">
        <v>10342</v>
      </c>
      <c r="I269" s="238" t="s">
        <v>10343</v>
      </c>
      <c r="J269" s="226" t="s">
        <v>6479</v>
      </c>
      <c r="K269" s="235" t="s">
        <v>10344</v>
      </c>
      <c r="L269" s="198" t="s">
        <v>8706</v>
      </c>
      <c r="M269" s="6" t="s">
        <v>620</v>
      </c>
      <c r="N269" s="28" t="s">
        <v>620</v>
      </c>
      <c r="O269" s="28" t="s">
        <v>620</v>
      </c>
      <c r="P269" s="28" t="s">
        <v>8860</v>
      </c>
      <c r="Q269" s="198" t="s">
        <v>6610</v>
      </c>
    </row>
    <row r="270" customFormat="false" ht="100.5" hidden="false" customHeight="true" outlineLevel="0" collapsed="false">
      <c r="A270" s="226" t="s">
        <v>10345</v>
      </c>
      <c r="B270" s="226" t="s">
        <v>6482</v>
      </c>
      <c r="C270" s="235" t="s">
        <v>10346</v>
      </c>
      <c r="D270" s="226" t="s">
        <v>10347</v>
      </c>
      <c r="E270" s="226" t="s">
        <v>10348</v>
      </c>
      <c r="F270" s="226" t="s">
        <v>10349</v>
      </c>
      <c r="G270" s="226" t="s">
        <v>10350</v>
      </c>
      <c r="H270" s="226" t="s">
        <v>10351</v>
      </c>
      <c r="I270" s="238" t="s">
        <v>10352</v>
      </c>
      <c r="J270" s="226" t="s">
        <v>6479</v>
      </c>
      <c r="K270" s="239" t="s">
        <v>10353</v>
      </c>
      <c r="L270" s="198" t="s">
        <v>8706</v>
      </c>
      <c r="M270" s="6" t="s">
        <v>620</v>
      </c>
      <c r="N270" s="28" t="s">
        <v>620</v>
      </c>
      <c r="O270" s="28" t="s">
        <v>10354</v>
      </c>
      <c r="P270" s="28" t="s">
        <v>8836</v>
      </c>
      <c r="Q270" s="198" t="s">
        <v>6610</v>
      </c>
    </row>
    <row r="271" customFormat="false" ht="100.5" hidden="false" customHeight="true" outlineLevel="0" collapsed="false">
      <c r="A271" s="226" t="s">
        <v>10355</v>
      </c>
      <c r="B271" s="226" t="s">
        <v>6482</v>
      </c>
      <c r="C271" s="235" t="s">
        <v>10356</v>
      </c>
      <c r="D271" s="226" t="s">
        <v>10357</v>
      </c>
      <c r="E271" s="226" t="s">
        <v>10358</v>
      </c>
      <c r="F271" s="226" t="s">
        <v>10359</v>
      </c>
      <c r="G271" s="226" t="s">
        <v>620</v>
      </c>
      <c r="H271" s="226" t="s">
        <v>620</v>
      </c>
      <c r="I271" s="238" t="s">
        <v>10360</v>
      </c>
      <c r="J271" s="226" t="s">
        <v>6479</v>
      </c>
      <c r="K271" s="239" t="s">
        <v>10361</v>
      </c>
      <c r="L271" s="198" t="s">
        <v>8706</v>
      </c>
      <c r="M271" s="6" t="s">
        <v>620</v>
      </c>
      <c r="N271" s="28" t="s">
        <v>620</v>
      </c>
      <c r="O271" s="28" t="s">
        <v>620</v>
      </c>
      <c r="P271" s="28" t="s">
        <v>8836</v>
      </c>
      <c r="Q271" s="198" t="s">
        <v>6610</v>
      </c>
    </row>
    <row r="272" customFormat="false" ht="114.75" hidden="false" customHeight="true" outlineLevel="0" collapsed="false">
      <c r="A272" s="226" t="s">
        <v>10362</v>
      </c>
      <c r="B272" s="226" t="s">
        <v>6482</v>
      </c>
      <c r="C272" s="235" t="s">
        <v>10363</v>
      </c>
      <c r="D272" s="226" t="s">
        <v>10364</v>
      </c>
      <c r="E272" s="226" t="s">
        <v>10365</v>
      </c>
      <c r="F272" s="226" t="s">
        <v>10359</v>
      </c>
      <c r="G272" s="226" t="s">
        <v>620</v>
      </c>
      <c r="H272" s="226" t="s">
        <v>10366</v>
      </c>
      <c r="I272" s="238" t="s">
        <v>10367</v>
      </c>
      <c r="J272" s="226" t="s">
        <v>6479</v>
      </c>
      <c r="K272" s="235" t="s">
        <v>10368</v>
      </c>
      <c r="L272" s="198" t="s">
        <v>8706</v>
      </c>
      <c r="M272" s="6" t="s">
        <v>620</v>
      </c>
      <c r="N272" s="28" t="s">
        <v>620</v>
      </c>
      <c r="O272" s="28" t="s">
        <v>620</v>
      </c>
      <c r="P272" s="28" t="s">
        <v>8836</v>
      </c>
      <c r="Q272" s="198" t="s">
        <v>6610</v>
      </c>
    </row>
    <row r="273" customFormat="false" ht="100.5" hidden="false" customHeight="true" outlineLevel="0" collapsed="false">
      <c r="A273" s="226" t="s">
        <v>10369</v>
      </c>
      <c r="B273" s="226" t="s">
        <v>6482</v>
      </c>
      <c r="C273" s="235" t="s">
        <v>10370</v>
      </c>
      <c r="D273" s="226" t="s">
        <v>10371</v>
      </c>
      <c r="E273" s="226" t="s">
        <v>10372</v>
      </c>
      <c r="F273" s="226" t="s">
        <v>10373</v>
      </c>
      <c r="G273" s="226" t="s">
        <v>620</v>
      </c>
      <c r="H273" s="226" t="s">
        <v>620</v>
      </c>
      <c r="I273" s="238" t="s">
        <v>10360</v>
      </c>
      <c r="J273" s="226" t="s">
        <v>6479</v>
      </c>
      <c r="K273" s="239" t="s">
        <v>10374</v>
      </c>
      <c r="L273" s="198" t="s">
        <v>8706</v>
      </c>
      <c r="M273" s="6" t="s">
        <v>620</v>
      </c>
      <c r="N273" s="28" t="s">
        <v>620</v>
      </c>
      <c r="O273" s="28" t="s">
        <v>620</v>
      </c>
      <c r="P273" s="28" t="s">
        <v>8836</v>
      </c>
      <c r="Q273" s="198" t="s">
        <v>6610</v>
      </c>
    </row>
    <row r="274" customFormat="false" ht="114.75" hidden="false" customHeight="true" outlineLevel="0" collapsed="false">
      <c r="A274" s="226" t="s">
        <v>10375</v>
      </c>
      <c r="B274" s="226" t="s">
        <v>6482</v>
      </c>
      <c r="C274" s="235" t="s">
        <v>10376</v>
      </c>
      <c r="D274" s="226" t="s">
        <v>10377</v>
      </c>
      <c r="E274" s="226" t="s">
        <v>10378</v>
      </c>
      <c r="F274" s="226" t="s">
        <v>8074</v>
      </c>
      <c r="G274" s="226" t="s">
        <v>10379</v>
      </c>
      <c r="H274" s="226" t="s">
        <v>10380</v>
      </c>
      <c r="I274" s="238" t="s">
        <v>10381</v>
      </c>
      <c r="J274" s="226" t="s">
        <v>6479</v>
      </c>
      <c r="K274" s="239" t="s">
        <v>10382</v>
      </c>
      <c r="L274" s="198" t="s">
        <v>8706</v>
      </c>
      <c r="M274" s="6" t="s">
        <v>8074</v>
      </c>
      <c r="N274" s="28" t="s">
        <v>620</v>
      </c>
      <c r="O274" s="28" t="s">
        <v>10383</v>
      </c>
      <c r="P274" s="28" t="s">
        <v>8860</v>
      </c>
      <c r="Q274" s="198" t="s">
        <v>6610</v>
      </c>
    </row>
    <row r="275" customFormat="false" ht="114.75" hidden="false" customHeight="true" outlineLevel="0" collapsed="false">
      <c r="A275" s="226" t="s">
        <v>10384</v>
      </c>
      <c r="B275" s="226" t="s">
        <v>6482</v>
      </c>
      <c r="C275" s="235" t="s">
        <v>10385</v>
      </c>
      <c r="D275" s="226" t="s">
        <v>10386</v>
      </c>
      <c r="E275" s="226" t="s">
        <v>10387</v>
      </c>
      <c r="F275" s="226" t="s">
        <v>10388</v>
      </c>
      <c r="G275" s="226" t="s">
        <v>620</v>
      </c>
      <c r="H275" s="226" t="s">
        <v>10389</v>
      </c>
      <c r="I275" s="238" t="s">
        <v>10390</v>
      </c>
      <c r="J275" s="226" t="s">
        <v>6479</v>
      </c>
      <c r="K275" s="235" t="s">
        <v>10391</v>
      </c>
      <c r="L275" s="198" t="s">
        <v>8706</v>
      </c>
      <c r="M275" s="6" t="s">
        <v>620</v>
      </c>
      <c r="N275" s="28" t="s">
        <v>620</v>
      </c>
      <c r="O275" s="28" t="s">
        <v>620</v>
      </c>
      <c r="P275" s="28" t="s">
        <v>8836</v>
      </c>
      <c r="Q275" s="198" t="s">
        <v>6610</v>
      </c>
    </row>
    <row r="276" customFormat="false" ht="114.75" hidden="false" customHeight="true" outlineLevel="0" collapsed="false">
      <c r="A276" s="226" t="s">
        <v>10392</v>
      </c>
      <c r="B276" s="226" t="s">
        <v>6482</v>
      </c>
      <c r="C276" s="235" t="s">
        <v>10393</v>
      </c>
      <c r="D276" s="226" t="s">
        <v>10394</v>
      </c>
      <c r="E276" s="226" t="s">
        <v>10395</v>
      </c>
      <c r="F276" s="226" t="s">
        <v>10396</v>
      </c>
      <c r="G276" s="226" t="s">
        <v>620</v>
      </c>
      <c r="H276" s="226" t="s">
        <v>620</v>
      </c>
      <c r="I276" s="238" t="s">
        <v>10397</v>
      </c>
      <c r="J276" s="226" t="s">
        <v>6479</v>
      </c>
      <c r="K276" s="239" t="s">
        <v>10398</v>
      </c>
      <c r="L276" s="198" t="s">
        <v>8706</v>
      </c>
      <c r="M276" s="6" t="s">
        <v>620</v>
      </c>
      <c r="N276" s="28" t="s">
        <v>620</v>
      </c>
      <c r="O276" s="28" t="s">
        <v>620</v>
      </c>
      <c r="P276" s="28" t="s">
        <v>8885</v>
      </c>
      <c r="Q276" s="198" t="s">
        <v>6717</v>
      </c>
    </row>
    <row r="277" customFormat="false" ht="100.5" hidden="false" customHeight="true" outlineLevel="0" collapsed="false">
      <c r="A277" s="226" t="s">
        <v>10399</v>
      </c>
      <c r="B277" s="226" t="s">
        <v>6482</v>
      </c>
      <c r="C277" s="239" t="s">
        <v>10400</v>
      </c>
      <c r="D277" s="226" t="s">
        <v>10401</v>
      </c>
      <c r="E277" s="226" t="s">
        <v>104</v>
      </c>
      <c r="F277" s="226" t="s">
        <v>10402</v>
      </c>
      <c r="G277" s="226" t="s">
        <v>620</v>
      </c>
      <c r="H277" s="226" t="s">
        <v>10403</v>
      </c>
      <c r="I277" s="238" t="s">
        <v>10397</v>
      </c>
      <c r="J277" s="226" t="s">
        <v>6479</v>
      </c>
      <c r="K277" s="239" t="s">
        <v>10404</v>
      </c>
      <c r="L277" s="198" t="s">
        <v>8706</v>
      </c>
      <c r="M277" s="6" t="s">
        <v>620</v>
      </c>
      <c r="N277" s="28" t="s">
        <v>620</v>
      </c>
      <c r="O277" s="28" t="s">
        <v>620</v>
      </c>
      <c r="P277" s="28" t="s">
        <v>8836</v>
      </c>
      <c r="Q277" s="198" t="s">
        <v>10234</v>
      </c>
    </row>
    <row r="278" customFormat="false" ht="114.75" hidden="false" customHeight="true" outlineLevel="0" collapsed="false">
      <c r="A278" s="226" t="s">
        <v>10405</v>
      </c>
      <c r="B278" s="226" t="s">
        <v>6482</v>
      </c>
      <c r="C278" s="235" t="s">
        <v>10406</v>
      </c>
      <c r="D278" s="226" t="s">
        <v>10407</v>
      </c>
      <c r="E278" s="226" t="s">
        <v>10408</v>
      </c>
      <c r="F278" s="226" t="s">
        <v>10409</v>
      </c>
      <c r="G278" s="226" t="s">
        <v>620</v>
      </c>
      <c r="H278" s="226" t="s">
        <v>10410</v>
      </c>
      <c r="I278" s="238" t="s">
        <v>10411</v>
      </c>
      <c r="J278" s="226" t="s">
        <v>6479</v>
      </c>
      <c r="K278" s="235" t="s">
        <v>10412</v>
      </c>
      <c r="L278" s="198" t="s">
        <v>8706</v>
      </c>
      <c r="M278" s="6" t="s">
        <v>620</v>
      </c>
      <c r="N278" s="28" t="s">
        <v>620</v>
      </c>
      <c r="O278" s="28" t="s">
        <v>620</v>
      </c>
      <c r="P278" s="28" t="s">
        <v>8836</v>
      </c>
      <c r="Q278" s="198" t="s">
        <v>10234</v>
      </c>
    </row>
    <row r="279" customFormat="false" ht="114.75" hidden="false" customHeight="true" outlineLevel="0" collapsed="false">
      <c r="A279" s="226" t="s">
        <v>10413</v>
      </c>
      <c r="B279" s="226" t="s">
        <v>6482</v>
      </c>
      <c r="C279" s="235" t="s">
        <v>10414</v>
      </c>
      <c r="D279" s="226" t="s">
        <v>10415</v>
      </c>
      <c r="E279" s="226" t="s">
        <v>10358</v>
      </c>
      <c r="F279" s="226" t="s">
        <v>10416</v>
      </c>
      <c r="G279" s="226" t="s">
        <v>620</v>
      </c>
      <c r="H279" s="226" t="s">
        <v>10417</v>
      </c>
      <c r="I279" s="238" t="s">
        <v>10411</v>
      </c>
      <c r="J279" s="226" t="s">
        <v>6479</v>
      </c>
      <c r="K279" s="235" t="s">
        <v>10418</v>
      </c>
      <c r="L279" s="198" t="s">
        <v>8706</v>
      </c>
      <c r="M279" s="6" t="s">
        <v>620</v>
      </c>
      <c r="N279" s="28" t="s">
        <v>620</v>
      </c>
      <c r="O279" s="28" t="s">
        <v>620</v>
      </c>
      <c r="P279" s="28" t="s">
        <v>8836</v>
      </c>
      <c r="Q279" s="198" t="s">
        <v>6610</v>
      </c>
    </row>
    <row r="280" customFormat="false" ht="114.75" hidden="false" customHeight="true" outlineLevel="0" collapsed="false">
      <c r="A280" s="226" t="s">
        <v>10419</v>
      </c>
      <c r="B280" s="226" t="s">
        <v>6482</v>
      </c>
      <c r="C280" s="239" t="s">
        <v>10420</v>
      </c>
      <c r="D280" s="226" t="s">
        <v>10421</v>
      </c>
      <c r="E280" s="226" t="s">
        <v>147</v>
      </c>
      <c r="F280" s="226" t="s">
        <v>10422</v>
      </c>
      <c r="G280" s="226" t="s">
        <v>10423</v>
      </c>
      <c r="H280" s="226" t="s">
        <v>10424</v>
      </c>
      <c r="I280" s="238" t="s">
        <v>10425</v>
      </c>
      <c r="J280" s="226" t="s">
        <v>6479</v>
      </c>
      <c r="K280" s="235" t="s">
        <v>10426</v>
      </c>
      <c r="L280" s="198" t="s">
        <v>8706</v>
      </c>
      <c r="M280" s="6" t="s">
        <v>620</v>
      </c>
      <c r="N280" s="28" t="s">
        <v>620</v>
      </c>
      <c r="O280" s="28" t="s">
        <v>10427</v>
      </c>
      <c r="P280" s="28" t="s">
        <v>620</v>
      </c>
      <c r="Q280" s="198" t="s">
        <v>6717</v>
      </c>
    </row>
    <row r="281" customFormat="false" ht="114.75" hidden="false" customHeight="true" outlineLevel="0" collapsed="false">
      <c r="A281" s="226" t="s">
        <v>10428</v>
      </c>
      <c r="B281" s="226" t="s">
        <v>6482</v>
      </c>
      <c r="C281" s="239" t="s">
        <v>10429</v>
      </c>
      <c r="D281" s="226" t="s">
        <v>10430</v>
      </c>
      <c r="E281" s="226" t="s">
        <v>147</v>
      </c>
      <c r="F281" s="238" t="s">
        <v>10431</v>
      </c>
      <c r="G281" s="226" t="s">
        <v>620</v>
      </c>
      <c r="H281" s="226" t="s">
        <v>10432</v>
      </c>
      <c r="I281" s="238" t="s">
        <v>10433</v>
      </c>
      <c r="J281" s="226" t="s">
        <v>6479</v>
      </c>
      <c r="K281" s="239" t="s">
        <v>10434</v>
      </c>
      <c r="L281" s="198" t="s">
        <v>8706</v>
      </c>
      <c r="M281" s="6" t="s">
        <v>620</v>
      </c>
      <c r="N281" s="28" t="s">
        <v>620</v>
      </c>
      <c r="O281" s="28" t="s">
        <v>10435</v>
      </c>
      <c r="P281" s="28" t="s">
        <v>620</v>
      </c>
      <c r="Q281" s="198" t="s">
        <v>6717</v>
      </c>
    </row>
    <row r="282" customFormat="false" ht="100.5" hidden="false" customHeight="true" outlineLevel="0" collapsed="false">
      <c r="A282" s="226" t="s">
        <v>10436</v>
      </c>
      <c r="B282" s="226" t="s">
        <v>6482</v>
      </c>
      <c r="C282" s="235" t="s">
        <v>10437</v>
      </c>
      <c r="D282" s="226" t="s">
        <v>10438</v>
      </c>
      <c r="E282" s="226" t="s">
        <v>10439</v>
      </c>
      <c r="F282" s="238" t="s">
        <v>10440</v>
      </c>
      <c r="G282" s="226" t="s">
        <v>620</v>
      </c>
      <c r="H282" s="238" t="s">
        <v>535</v>
      </c>
      <c r="I282" s="238" t="s">
        <v>10441</v>
      </c>
      <c r="J282" s="226" t="s">
        <v>6479</v>
      </c>
      <c r="K282" s="239" t="s">
        <v>10442</v>
      </c>
      <c r="L282" s="198" t="s">
        <v>8706</v>
      </c>
      <c r="M282" s="6" t="s">
        <v>620</v>
      </c>
      <c r="N282" s="28" t="s">
        <v>620</v>
      </c>
      <c r="O282" s="28" t="s">
        <v>3367</v>
      </c>
      <c r="P282" s="28" t="s">
        <v>8836</v>
      </c>
      <c r="Q282" s="198" t="s">
        <v>10234</v>
      </c>
    </row>
    <row r="283" customFormat="false" ht="114.75" hidden="false" customHeight="true" outlineLevel="0" collapsed="false">
      <c r="A283" s="226" t="s">
        <v>10443</v>
      </c>
      <c r="B283" s="226" t="s">
        <v>6482</v>
      </c>
      <c r="C283" s="235" t="s">
        <v>10444</v>
      </c>
      <c r="D283" s="226" t="s">
        <v>10445</v>
      </c>
      <c r="E283" s="238" t="s">
        <v>10333</v>
      </c>
      <c r="F283" s="226" t="s">
        <v>10446</v>
      </c>
      <c r="G283" s="226" t="s">
        <v>10447</v>
      </c>
      <c r="H283" s="226" t="s">
        <v>620</v>
      </c>
      <c r="I283" s="238" t="s">
        <v>10448</v>
      </c>
      <c r="J283" s="226" t="s">
        <v>6479</v>
      </c>
      <c r="K283" s="239" t="s">
        <v>10449</v>
      </c>
      <c r="L283" s="198" t="s">
        <v>8706</v>
      </c>
      <c r="M283" s="6" t="s">
        <v>620</v>
      </c>
      <c r="N283" s="28" t="s">
        <v>620</v>
      </c>
      <c r="O283" s="28" t="s">
        <v>620</v>
      </c>
      <c r="P283" s="28" t="s">
        <v>620</v>
      </c>
      <c r="Q283" s="198" t="s">
        <v>6717</v>
      </c>
    </row>
    <row r="284" customFormat="false" ht="114.75" hidden="false" customHeight="true" outlineLevel="0" collapsed="false">
      <c r="A284" s="226" t="s">
        <v>10450</v>
      </c>
      <c r="B284" s="226" t="s">
        <v>6482</v>
      </c>
      <c r="C284" s="239" t="s">
        <v>10451</v>
      </c>
      <c r="D284" s="226" t="s">
        <v>10452</v>
      </c>
      <c r="E284" s="226" t="s">
        <v>147</v>
      </c>
      <c r="F284" s="226" t="s">
        <v>10453</v>
      </c>
      <c r="G284" s="226" t="s">
        <v>10454</v>
      </c>
      <c r="H284" s="238" t="s">
        <v>10455</v>
      </c>
      <c r="I284" s="238" t="s">
        <v>10456</v>
      </c>
      <c r="J284" s="226" t="s">
        <v>6479</v>
      </c>
      <c r="K284" s="239" t="s">
        <v>10457</v>
      </c>
      <c r="L284" s="198" t="s">
        <v>8706</v>
      </c>
      <c r="M284" s="6" t="s">
        <v>620</v>
      </c>
      <c r="N284" s="28" t="s">
        <v>620</v>
      </c>
      <c r="O284" s="28" t="s">
        <v>10458</v>
      </c>
      <c r="P284" s="28" t="s">
        <v>620</v>
      </c>
      <c r="Q284" s="198" t="s">
        <v>6717</v>
      </c>
    </row>
    <row r="285" customFormat="false" ht="114.75" hidden="false" customHeight="true" outlineLevel="0" collapsed="false">
      <c r="A285" s="226" t="s">
        <v>10459</v>
      </c>
      <c r="B285" s="226" t="s">
        <v>6482</v>
      </c>
      <c r="C285" s="235" t="s">
        <v>10460</v>
      </c>
      <c r="D285" s="226" t="s">
        <v>10461</v>
      </c>
      <c r="E285" s="226" t="s">
        <v>10462</v>
      </c>
      <c r="F285" s="226" t="s">
        <v>8074</v>
      </c>
      <c r="G285" s="226" t="s">
        <v>10463</v>
      </c>
      <c r="H285" s="226" t="s">
        <v>10380</v>
      </c>
      <c r="I285" s="238" t="s">
        <v>10464</v>
      </c>
      <c r="J285" s="226" t="s">
        <v>6479</v>
      </c>
      <c r="K285" s="239" t="s">
        <v>10465</v>
      </c>
      <c r="L285" s="198" t="s">
        <v>8706</v>
      </c>
      <c r="M285" s="6" t="s">
        <v>8074</v>
      </c>
      <c r="N285" s="28" t="s">
        <v>620</v>
      </c>
      <c r="O285" s="28" t="s">
        <v>10466</v>
      </c>
      <c r="P285" s="28" t="s">
        <v>8860</v>
      </c>
      <c r="Q285" s="198" t="s">
        <v>6610</v>
      </c>
    </row>
    <row r="286" customFormat="false" ht="100.5" hidden="false" customHeight="true" outlineLevel="0" collapsed="false">
      <c r="A286" s="226" t="s">
        <v>10467</v>
      </c>
      <c r="B286" s="226" t="s">
        <v>6482</v>
      </c>
      <c r="C286" s="239" t="s">
        <v>10468</v>
      </c>
      <c r="D286" s="226" t="s">
        <v>10469</v>
      </c>
      <c r="E286" s="226" t="s">
        <v>10470</v>
      </c>
      <c r="F286" s="226" t="s">
        <v>10471</v>
      </c>
      <c r="G286" s="226" t="s">
        <v>10472</v>
      </c>
      <c r="H286" s="226" t="s">
        <v>10473</v>
      </c>
      <c r="I286" s="238" t="s">
        <v>10474</v>
      </c>
      <c r="J286" s="226" t="s">
        <v>6479</v>
      </c>
      <c r="K286" s="239" t="s">
        <v>10475</v>
      </c>
      <c r="L286" s="198" t="s">
        <v>8706</v>
      </c>
      <c r="M286" s="6" t="s">
        <v>3018</v>
      </c>
      <c r="N286" s="28" t="s">
        <v>620</v>
      </c>
      <c r="O286" s="28" t="s">
        <v>10476</v>
      </c>
      <c r="P286" s="28" t="s">
        <v>8860</v>
      </c>
      <c r="Q286" s="198" t="s">
        <v>6610</v>
      </c>
    </row>
    <row r="287" customFormat="false" ht="114.75" hidden="false" customHeight="true" outlineLevel="0" collapsed="false">
      <c r="A287" s="226" t="s">
        <v>8466</v>
      </c>
      <c r="B287" s="226" t="s">
        <v>6482</v>
      </c>
      <c r="C287" s="235" t="s">
        <v>10477</v>
      </c>
      <c r="D287" s="226" t="s">
        <v>10478</v>
      </c>
      <c r="E287" s="238" t="s">
        <v>10479</v>
      </c>
      <c r="F287" s="226" t="s">
        <v>10480</v>
      </c>
      <c r="G287" s="226" t="s">
        <v>10472</v>
      </c>
      <c r="H287" s="226" t="s">
        <v>10481</v>
      </c>
      <c r="I287" s="238" t="s">
        <v>10482</v>
      </c>
      <c r="J287" s="226" t="s">
        <v>6479</v>
      </c>
      <c r="K287" s="239" t="s">
        <v>10483</v>
      </c>
      <c r="L287" s="198" t="s">
        <v>8706</v>
      </c>
      <c r="M287" s="6" t="s">
        <v>10484</v>
      </c>
      <c r="N287" s="28" t="s">
        <v>620</v>
      </c>
      <c r="O287" s="28" t="s">
        <v>10485</v>
      </c>
      <c r="P287" s="28" t="s">
        <v>8860</v>
      </c>
      <c r="Q287" s="198" t="s">
        <v>6717</v>
      </c>
    </row>
    <row r="288" customFormat="false" ht="100.5" hidden="false" customHeight="true" outlineLevel="0" collapsed="false">
      <c r="A288" s="226" t="s">
        <v>10486</v>
      </c>
      <c r="B288" s="226" t="s">
        <v>6482</v>
      </c>
      <c r="C288" s="239" t="s">
        <v>10487</v>
      </c>
      <c r="D288" s="226" t="s">
        <v>10488</v>
      </c>
      <c r="E288" s="226" t="s">
        <v>10489</v>
      </c>
      <c r="F288" s="226" t="s">
        <v>10490</v>
      </c>
      <c r="G288" s="226" t="s">
        <v>620</v>
      </c>
      <c r="H288" s="226" t="s">
        <v>10389</v>
      </c>
      <c r="I288" s="238" t="s">
        <v>10491</v>
      </c>
      <c r="J288" s="226" t="s">
        <v>6479</v>
      </c>
      <c r="K288" s="239" t="s">
        <v>10492</v>
      </c>
      <c r="L288" s="198" t="s">
        <v>8706</v>
      </c>
      <c r="M288" s="6" t="s">
        <v>620</v>
      </c>
      <c r="N288" s="28" t="s">
        <v>620</v>
      </c>
      <c r="O288" s="28" t="s">
        <v>620</v>
      </c>
      <c r="P288" s="28" t="s">
        <v>8836</v>
      </c>
      <c r="Q288" s="198" t="s">
        <v>6610</v>
      </c>
    </row>
    <row r="289" customFormat="false" ht="114.75" hidden="false" customHeight="true" outlineLevel="0" collapsed="false">
      <c r="A289" s="226" t="s">
        <v>10493</v>
      </c>
      <c r="B289" s="226" t="s">
        <v>6482</v>
      </c>
      <c r="C289" s="235" t="s">
        <v>10494</v>
      </c>
      <c r="D289" s="226" t="s">
        <v>10495</v>
      </c>
      <c r="E289" s="226" t="s">
        <v>10348</v>
      </c>
      <c r="F289" s="226" t="s">
        <v>10349</v>
      </c>
      <c r="G289" s="226" t="s">
        <v>10350</v>
      </c>
      <c r="H289" s="226" t="s">
        <v>10496</v>
      </c>
      <c r="I289" s="238" t="s">
        <v>10497</v>
      </c>
      <c r="J289" s="226" t="s">
        <v>6479</v>
      </c>
      <c r="K289" s="239" t="s">
        <v>10498</v>
      </c>
      <c r="L289" s="198" t="s">
        <v>8706</v>
      </c>
      <c r="M289" s="6" t="s">
        <v>620</v>
      </c>
      <c r="N289" s="28" t="s">
        <v>620</v>
      </c>
      <c r="O289" s="28" t="s">
        <v>10354</v>
      </c>
      <c r="P289" s="28" t="s">
        <v>8836</v>
      </c>
      <c r="Q289" s="198" t="s">
        <v>6610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2026-10-15T21:04:23Z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